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trlProps/ctrlProp2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87514ab548623/Documents/Newsletter/New folder (2)/"/>
    </mc:Choice>
  </mc:AlternateContent>
  <xr:revisionPtr revIDLastSave="808" documentId="8_{F8D67660-3A64-4582-B3EA-2C72500CE176}" xr6:coauthVersionLast="47" xr6:coauthVersionMax="47" xr10:uidLastSave="{BE2DFB2D-BE6A-4598-9C96-9DC1F71D42EA}"/>
  <bookViews>
    <workbookView xWindow="-108" yWindow="-108" windowWidth="23256" windowHeight="12456" firstSheet="5" activeTab="8" xr2:uid="{CA763D56-E7CC-4E1A-A2AE-7A70841BFA2E}"/>
  </bookViews>
  <sheets>
    <sheet name="WHMcNumber" sheetId="2" state="hidden" r:id="rId1"/>
    <sheet name="Information" sheetId="18" r:id="rId2"/>
    <sheet name="ANOVA Calculations" sheetId="13" r:id="rId3"/>
    <sheet name="Predictor Table Calculations" sheetId="14" r:id="rId4"/>
    <sheet name="Standardized Coefficients" sheetId="15" r:id="rId5"/>
    <sheet name="Regression Stat Calculations" sheetId="16" r:id="rId6"/>
    <sheet name="H Matrix" sheetId="17" r:id="rId7"/>
    <sheet name="Data (1)" sheetId="3" r:id="rId8"/>
    <sheet name="Summary (1)" sheetId="4" r:id="rId9"/>
    <sheet name="Residuals (1)" sheetId="5" r:id="rId10"/>
    <sheet name="Regression Charts (1)" sheetId="6" r:id="rId11"/>
    <sheet name="Reg Chart Data (1)" sheetId="7" state="hidden" r:id="rId12"/>
  </sheets>
  <externalReferences>
    <externalReference r:id="rId13"/>
  </externalReferences>
  <definedNames>
    <definedName name="meansqerr" localSheetId="8">'Summary (1)'!$D$9</definedName>
    <definedName name="regcoeff" localSheetId="8">'Summary (1)'!$A$15:$A$16</definedName>
    <definedName name="regpred" localSheetId="8">'Summary (1)'!$B$32:$B$33</definedName>
    <definedName name="Xvalues">#REF!</definedName>
    <definedName name="XVector">'Predictor Table Calculations'!$A$2:$C$26</definedName>
    <definedName name="YValues">#REF!</definedName>
    <definedName name="YVector">'Predictor Table Calculations'!$D$2:$D$26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17" l="1"/>
  <c r="AL6" i="17" s="1"/>
  <c r="AK7" i="17"/>
  <c r="AL7" i="17" s="1"/>
  <c r="AK14" i="17"/>
  <c r="AL14" i="17" s="1"/>
  <c r="AK15" i="17"/>
  <c r="AL15" i="17" s="1"/>
  <c r="AK22" i="17"/>
  <c r="AL22" i="17" s="1"/>
  <c r="AK23" i="17"/>
  <c r="AL23" i="17" s="1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3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C3" i="17" a="1"/>
  <c r="C3" i="17" s="1"/>
  <c r="H3" i="17" s="1" a="1"/>
  <c r="L2" i="16"/>
  <c r="AK3" i="17" s="1"/>
  <c r="AL3" i="17" s="1"/>
  <c r="N6" i="16"/>
  <c r="N8" i="16"/>
  <c r="N9" i="16"/>
  <c r="N14" i="16"/>
  <c r="N16" i="16"/>
  <c r="N17" i="16"/>
  <c r="N22" i="16"/>
  <c r="N24" i="16"/>
  <c r="N25" i="16"/>
  <c r="L3" i="16"/>
  <c r="M3" i="16" s="1"/>
  <c r="L4" i="16"/>
  <c r="M4" i="16" s="1"/>
  <c r="L5" i="16"/>
  <c r="M5" i="16" s="1"/>
  <c r="L6" i="16"/>
  <c r="M6" i="16" s="1"/>
  <c r="L7" i="16"/>
  <c r="AK8" i="17" s="1"/>
  <c r="AL8" i="17" s="1"/>
  <c r="L8" i="16"/>
  <c r="AK9" i="17" s="1"/>
  <c r="AL9" i="17" s="1"/>
  <c r="L9" i="16"/>
  <c r="AK10" i="17" s="1"/>
  <c r="AL10" i="17" s="1"/>
  <c r="L10" i="16"/>
  <c r="N10" i="16" s="1"/>
  <c r="L11" i="16"/>
  <c r="M11" i="16" s="1"/>
  <c r="L12" i="16"/>
  <c r="M12" i="16" s="1"/>
  <c r="L13" i="16"/>
  <c r="M13" i="16" s="1"/>
  <c r="L14" i="16"/>
  <c r="M14" i="16" s="1"/>
  <c r="L15" i="16"/>
  <c r="AK16" i="17" s="1"/>
  <c r="AL16" i="17" s="1"/>
  <c r="L16" i="16"/>
  <c r="AK17" i="17" s="1"/>
  <c r="AL17" i="17" s="1"/>
  <c r="L17" i="16"/>
  <c r="AK18" i="17" s="1"/>
  <c r="AL18" i="17" s="1"/>
  <c r="L18" i="16"/>
  <c r="N18" i="16" s="1"/>
  <c r="L19" i="16"/>
  <c r="M19" i="16" s="1"/>
  <c r="L20" i="16"/>
  <c r="M20" i="16" s="1"/>
  <c r="L21" i="16"/>
  <c r="M21" i="16" s="1"/>
  <c r="L22" i="16"/>
  <c r="M22" i="16" s="1"/>
  <c r="L23" i="16"/>
  <c r="AK24" i="17" s="1"/>
  <c r="AL24" i="17" s="1"/>
  <c r="L24" i="16"/>
  <c r="AK25" i="17" s="1"/>
  <c r="AL25" i="17" s="1"/>
  <c r="L25" i="16"/>
  <c r="AK26" i="17" s="1"/>
  <c r="AL26" i="17" s="1"/>
  <c r="L26" i="16"/>
  <c r="N26" i="16" s="1"/>
  <c r="B14" i="16"/>
  <c r="B12" i="16"/>
  <c r="E10" i="16"/>
  <c r="E9" i="16"/>
  <c r="B5" i="16" s="1"/>
  <c r="B2" i="16"/>
  <c r="Q25" i="14"/>
  <c r="Q24" i="14"/>
  <c r="M2" i="15"/>
  <c r="I2" i="15"/>
  <c r="K27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" i="15"/>
  <c r="G14" i="15"/>
  <c r="G15" i="15"/>
  <c r="G16" i="15"/>
  <c r="G22" i="15"/>
  <c r="G23" i="15"/>
  <c r="G24" i="15"/>
  <c r="E3" i="15"/>
  <c r="E2" i="15"/>
  <c r="G3" i="15" s="1"/>
  <c r="P25" i="14"/>
  <c r="P24" i="14"/>
  <c r="O24" i="14"/>
  <c r="O25" i="14"/>
  <c r="O23" i="14"/>
  <c r="M23" i="14"/>
  <c r="N24" i="14"/>
  <c r="N25" i="14"/>
  <c r="N23" i="14"/>
  <c r="M25" i="14"/>
  <c r="M24" i="14"/>
  <c r="L24" i="14"/>
  <c r="L25" i="14"/>
  <c r="L23" i="14"/>
  <c r="J2" i="14" a="1"/>
  <c r="J2" i="14" s="1"/>
  <c r="J6" i="14" s="1" a="1"/>
  <c r="J6" i="14" s="1"/>
  <c r="J10" i="14" s="1" a="1"/>
  <c r="F33" i="13"/>
  <c r="E33" i="13"/>
  <c r="D34" i="13"/>
  <c r="D33" i="13"/>
  <c r="B35" i="13"/>
  <c r="B34" i="13"/>
  <c r="B33" i="13"/>
  <c r="Q27" i="13"/>
  <c r="Q3" i="13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" i="13"/>
  <c r="M3" i="13"/>
  <c r="N3" i="13" s="1"/>
  <c r="M4" i="13"/>
  <c r="N4" i="13" s="1"/>
  <c r="M5" i="13"/>
  <c r="N5" i="13" s="1"/>
  <c r="M6" i="13"/>
  <c r="N6" i="13" s="1"/>
  <c r="M7" i="13"/>
  <c r="N7" i="13" s="1"/>
  <c r="M8" i="13"/>
  <c r="N8" i="13" s="1"/>
  <c r="M9" i="13"/>
  <c r="N9" i="13" s="1"/>
  <c r="M10" i="13"/>
  <c r="M11" i="13"/>
  <c r="N11" i="13" s="1"/>
  <c r="M12" i="13"/>
  <c r="N12" i="13" s="1"/>
  <c r="M13" i="13"/>
  <c r="N13" i="13" s="1"/>
  <c r="M14" i="13"/>
  <c r="N14" i="13" s="1"/>
  <c r="M15" i="13"/>
  <c r="M16" i="13"/>
  <c r="M17" i="13"/>
  <c r="N17" i="13" s="1"/>
  <c r="M18" i="13"/>
  <c r="M19" i="13"/>
  <c r="N19" i="13" s="1"/>
  <c r="M20" i="13"/>
  <c r="N20" i="13" s="1"/>
  <c r="M21" i="13"/>
  <c r="N21" i="13" s="1"/>
  <c r="M22" i="13"/>
  <c r="N22" i="13" s="1"/>
  <c r="M23" i="13"/>
  <c r="M24" i="13"/>
  <c r="M25" i="13"/>
  <c r="N25" i="13" s="1"/>
  <c r="M26" i="13"/>
  <c r="M2" i="13"/>
  <c r="N2" i="13" s="1"/>
  <c r="G2" i="13"/>
  <c r="N10" i="13" s="1"/>
  <c r="M18" i="16" l="1"/>
  <c r="M9" i="16"/>
  <c r="N2" i="16"/>
  <c r="M24" i="16"/>
  <c r="M16" i="16"/>
  <c r="M8" i="16"/>
  <c r="N23" i="16"/>
  <c r="N15" i="16"/>
  <c r="N7" i="16"/>
  <c r="AK21" i="17"/>
  <c r="AL21" i="17" s="1"/>
  <c r="AK13" i="17"/>
  <c r="AL13" i="17" s="1"/>
  <c r="AK5" i="17"/>
  <c r="AL5" i="17" s="1"/>
  <c r="M26" i="16"/>
  <c r="M25" i="16"/>
  <c r="M23" i="16"/>
  <c r="M15" i="16"/>
  <c r="M7" i="16"/>
  <c r="AK20" i="17"/>
  <c r="AL20" i="17" s="1"/>
  <c r="AK12" i="17"/>
  <c r="AL12" i="17" s="1"/>
  <c r="AK4" i="17"/>
  <c r="AL4" i="17" s="1"/>
  <c r="AL28" i="17" s="1"/>
  <c r="B24" i="16" s="1"/>
  <c r="B28" i="16" s="1"/>
  <c r="N21" i="16"/>
  <c r="N13" i="16"/>
  <c r="N5" i="16"/>
  <c r="AK27" i="17"/>
  <c r="AL27" i="17" s="1"/>
  <c r="AK19" i="17"/>
  <c r="AL19" i="17" s="1"/>
  <c r="AK11" i="17"/>
  <c r="AL11" i="17" s="1"/>
  <c r="M10" i="16"/>
  <c r="M17" i="16"/>
  <c r="N20" i="16"/>
  <c r="N12" i="16"/>
  <c r="N4" i="16"/>
  <c r="N19" i="16"/>
  <c r="N11" i="16"/>
  <c r="N3" i="16"/>
  <c r="H3" i="17"/>
  <c r="AI3" i="17" s="1"/>
  <c r="AI5" i="17"/>
  <c r="AI4" i="17"/>
  <c r="M27" i="16"/>
  <c r="B16" i="16"/>
  <c r="G21" i="15"/>
  <c r="G13" i="15"/>
  <c r="G20" i="15"/>
  <c r="G12" i="15"/>
  <c r="G2" i="15"/>
  <c r="G19" i="15"/>
  <c r="G11" i="15"/>
  <c r="G26" i="15"/>
  <c r="G18" i="15"/>
  <c r="G10" i="15"/>
  <c r="G25" i="15"/>
  <c r="G17" i="15"/>
  <c r="G9" i="15"/>
  <c r="G8" i="15"/>
  <c r="G7" i="15"/>
  <c r="G6" i="15"/>
  <c r="G5" i="15"/>
  <c r="G4" i="15"/>
  <c r="J10" i="14"/>
  <c r="K25" i="14"/>
  <c r="K24" i="14"/>
  <c r="H9" i="13"/>
  <c r="H23" i="13"/>
  <c r="H22" i="13"/>
  <c r="H14" i="13"/>
  <c r="H6" i="13"/>
  <c r="H21" i="13"/>
  <c r="H13" i="13"/>
  <c r="H5" i="13"/>
  <c r="N24" i="13"/>
  <c r="N16" i="13"/>
  <c r="H20" i="13"/>
  <c r="H12" i="13"/>
  <c r="H4" i="13"/>
  <c r="N23" i="13"/>
  <c r="N15" i="13"/>
  <c r="N27" i="13" s="1"/>
  <c r="H19" i="13"/>
  <c r="H11" i="13"/>
  <c r="H3" i="13"/>
  <c r="H26" i="13"/>
  <c r="H18" i="13"/>
  <c r="H10" i="13"/>
  <c r="H17" i="13"/>
  <c r="H24" i="13"/>
  <c r="H16" i="13"/>
  <c r="H8" i="13"/>
  <c r="H2" i="13"/>
  <c r="H25" i="13"/>
  <c r="H15" i="13"/>
  <c r="H7" i="13"/>
  <c r="N26" i="13"/>
  <c r="N18" i="13"/>
  <c r="N27" i="16" l="1"/>
  <c r="B20" i="16" s="1"/>
  <c r="G27" i="15"/>
  <c r="K23" i="14"/>
  <c r="J14" i="14" a="1"/>
  <c r="J14" i="14" s="1"/>
  <c r="J18" i="14" s="1" a="1"/>
  <c r="H27" i="13"/>
  <c r="J18" i="14" l="1"/>
  <c r="J23" i="14" s="1"/>
  <c r="J24" i="14"/>
  <c r="J2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McNeese</author>
  </authors>
  <commentList>
    <comment ref="A1" authorId="0" shapeId="0" xr:uid="{2EAB465C-034F-4199-8AF6-A421C2D669F1}">
      <text>
        <r>
          <rPr>
            <sz val="9"/>
            <color indexed="81"/>
            <rFont val="Tahoma"/>
            <family val="2"/>
          </rPr>
          <t>Data (1)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McNeese</author>
  </authors>
  <commentList>
    <comment ref="A1" authorId="0" shapeId="0" xr:uid="{A89A2E07-9FAC-42E8-A267-B18A217D26E2}">
      <text>
        <r>
          <rPr>
            <sz val="9"/>
            <color indexed="81"/>
            <rFont val="Tahoma"/>
            <family val="2"/>
          </rPr>
          <t>Summary (1)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McNeese</author>
  </authors>
  <commentList>
    <comment ref="A1" authorId="0" shapeId="0" xr:uid="{52D39C81-F13D-41F5-8010-2B8DB5CAB766}">
      <text>
        <r>
          <rPr>
            <sz val="9"/>
            <color indexed="81"/>
            <rFont val="Tahoma"/>
            <family val="2"/>
          </rPr>
          <t>Residuals (1)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McNeese</author>
  </authors>
  <commentList>
    <comment ref="A1" authorId="0" shapeId="0" xr:uid="{1FB05BA9-2D0D-4E96-AEA5-8517E220205C}">
      <text>
        <r>
          <rPr>
            <sz val="9"/>
            <color indexed="81"/>
            <rFont val="Tahoma"/>
            <family val="2"/>
          </rPr>
          <t>Regression Charts (1)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McNeese</author>
  </authors>
  <commentList>
    <comment ref="A1" authorId="0" shapeId="0" xr:uid="{04157F15-1DFA-4D30-BE10-A4EF6497BAA9}">
      <text>
        <r>
          <rPr>
            <sz val="9"/>
            <color indexed="81"/>
            <rFont val="Tahoma"/>
            <family val="2"/>
          </rPr>
          <t>Reg Chart Data (1)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<sst xmlns="http://schemas.openxmlformats.org/spreadsheetml/2006/main" count="198" uniqueCount="147">
  <si>
    <t>Number of Cases</t>
  </si>
  <si>
    <t>Distance</t>
  </si>
  <si>
    <t>Delivery Time</t>
  </si>
  <si>
    <t>DO NOT ALTER OR DELETE THIS SHEET.</t>
  </si>
  <si>
    <t>Chart Names</t>
  </si>
  <si>
    <t>Excel Version</t>
  </si>
  <si>
    <t>PC</t>
  </si>
  <si>
    <t>Obs. Number</t>
  </si>
  <si>
    <t>Regression Summary for Delivery Time</t>
  </si>
  <si>
    <t>Regression Model</t>
  </si>
  <si>
    <t>Delivery Time = 2.341 + 1.616(Number of Cases) + 0.0144(Distance)</t>
  </si>
  <si>
    <t>ANOVA Table</t>
  </si>
  <si>
    <t>df</t>
  </si>
  <si>
    <t>SS</t>
  </si>
  <si>
    <t>MS</t>
  </si>
  <si>
    <t>F</t>
  </si>
  <si>
    <t>p value</t>
  </si>
  <si>
    <t>Model</t>
  </si>
  <si>
    <t>Residual</t>
  </si>
  <si>
    <t>Total</t>
  </si>
  <si>
    <t>Predictors Table</t>
  </si>
  <si>
    <t>Coeff.</t>
  </si>
  <si>
    <t>Standard Error</t>
  </si>
  <si>
    <t>t Stat</t>
  </si>
  <si>
    <t>p Value</t>
  </si>
  <si>
    <t>95% Lower</t>
  </si>
  <si>
    <t>95% Upper</t>
  </si>
  <si>
    <t>VIF</t>
  </si>
  <si>
    <t>Stand. Coeff</t>
  </si>
  <si>
    <t>Intercept</t>
  </si>
  <si>
    <t>Regression Statistics</t>
  </si>
  <si>
    <t>R-sq</t>
  </si>
  <si>
    <t>Adjusted R-sq</t>
  </si>
  <si>
    <t>Mean</t>
  </si>
  <si>
    <t>Observations</t>
  </si>
  <si>
    <t>Durbin-Watson Statistic</t>
  </si>
  <si>
    <t>PRESS</t>
  </si>
  <si>
    <t>R-sq Prediction</t>
  </si>
  <si>
    <t>Predict Results</t>
  </si>
  <si>
    <t>Predicted</t>
  </si>
  <si>
    <t>Predictor (X)</t>
  </si>
  <si>
    <t>Level</t>
  </si>
  <si>
    <t>Result</t>
  </si>
  <si>
    <t>95% LCL</t>
  </si>
  <si>
    <t>95% UCL</t>
  </si>
  <si>
    <t>Residuals for Delivery Time</t>
  </si>
  <si>
    <t>Observation Number</t>
  </si>
  <si>
    <t>Observed Value</t>
  </si>
  <si>
    <t>Predicted Value</t>
  </si>
  <si>
    <t>Residuals</t>
  </si>
  <si>
    <t>Standardized Residuals</t>
  </si>
  <si>
    <t>Internally Studentized Residuals</t>
  </si>
  <si>
    <t>Externally Studentized Residuals</t>
  </si>
  <si>
    <t>Leverage</t>
  </si>
  <si>
    <t>DFFITS</t>
  </si>
  <si>
    <t>Cook's Distance</t>
  </si>
  <si>
    <t>Standard Error of Mean Predicted</t>
  </si>
  <si>
    <t>95% LCL Mean</t>
  </si>
  <si>
    <t>95% UCL Mean</t>
  </si>
  <si>
    <t>95% LCL Pred</t>
  </si>
  <si>
    <t>95% UCL Pred</t>
  </si>
  <si>
    <t>Notes:</t>
  </si>
  <si>
    <t>Any values that fail the following are colored in red and could be outliers.</t>
  </si>
  <si>
    <t xml:space="preserve">   Residuals outside the range of -3 to 3</t>
  </si>
  <si>
    <t xml:space="preserve">   Leverage &gt; 2p/n</t>
  </si>
  <si>
    <t xml:space="preserve">   Absolute value DFFITS &gt; 2Sqrt(p/n)</t>
  </si>
  <si>
    <t xml:space="preserve">   Cook's Distance &gt; 1</t>
  </si>
  <si>
    <t>where p is the number of regressor variables (including b0) and n is the number of observations</t>
  </si>
  <si>
    <r>
      <t>b</t>
    </r>
    <r>
      <rPr>
        <b/>
        <i/>
        <sz val="10"/>
        <color theme="1"/>
        <rFont val="Calibri"/>
        <family val="2"/>
        <scheme val="minor"/>
      </rPr>
      <t xml:space="preserve"> = (X’X)</t>
    </r>
    <r>
      <rPr>
        <b/>
        <i/>
        <vertAlign val="superscript"/>
        <sz val="10"/>
        <color theme="1"/>
        <rFont val="Calibri"/>
        <family val="2"/>
        <scheme val="minor"/>
      </rPr>
      <t>-1</t>
    </r>
    <r>
      <rPr>
        <b/>
        <i/>
        <sz val="10"/>
        <color theme="1"/>
        <rFont val="Calibri"/>
        <family val="2"/>
        <scheme val="minor"/>
      </rPr>
      <t>X’Y</t>
    </r>
  </si>
  <si>
    <t>S11</t>
  </si>
  <si>
    <t>S22</t>
  </si>
  <si>
    <t>Number of Cases (x1)</t>
  </si>
  <si>
    <t>Distance (x2)</t>
  </si>
  <si>
    <t>Delivery Time (y)</t>
  </si>
  <si>
    <t>Total Sum of Squares</t>
  </si>
  <si>
    <t>Average y</t>
  </si>
  <si>
    <t>Average of y</t>
  </si>
  <si>
    <t>(y - avg y)^2</t>
  </si>
  <si>
    <t>Total SS</t>
  </si>
  <si>
    <t>Model Sum of Squares</t>
  </si>
  <si>
    <t>b1</t>
  </si>
  <si>
    <t>b2</t>
  </si>
  <si>
    <t>Predicted y</t>
  </si>
  <si>
    <t>(y predicted - avg y)^2</t>
  </si>
  <si>
    <t>Model SS</t>
  </si>
  <si>
    <t>Residual Sum of Squares</t>
  </si>
  <si>
    <t>(y - predicted y)^2</t>
  </si>
  <si>
    <t>Residual SS</t>
  </si>
  <si>
    <t>Source</t>
  </si>
  <si>
    <t>Model df = p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</si>
  <si>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Residual df = n - p - 1</t>
    </r>
  </si>
  <si>
    <t>Total df = n - 1</t>
  </si>
  <si>
    <t>p = 2</t>
  </si>
  <si>
    <t>n = 25</t>
  </si>
  <si>
    <t>Named Ranges</t>
  </si>
  <si>
    <t>Yvector: cells(D2:D26)</t>
  </si>
  <si>
    <t>XVector: cells A2: C26</t>
  </si>
  <si>
    <t>Coefficents given by:</t>
  </si>
  <si>
    <t>Matrix Calculations</t>
  </si>
  <si>
    <t>Transpose Xvector</t>
  </si>
  <si>
    <t>(X’X)</t>
  </si>
  <si>
    <r>
      <t>(X’X)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</si>
  <si>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 xml:space="preserve"> (X’X)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X’</t>
    </r>
  </si>
  <si>
    <t>These are the coefficients</t>
  </si>
  <si>
    <t>Coefficent</t>
  </si>
  <si>
    <t>Std. Error</t>
  </si>
  <si>
    <t>R-squared</t>
  </si>
  <si>
    <t>Run Regression with number of cases (x) and distance (y) gives:</t>
  </si>
  <si>
    <t>x1</t>
  </si>
  <si>
    <t>x2</t>
  </si>
  <si>
    <t>Average</t>
  </si>
  <si>
    <t>SSTotal</t>
  </si>
  <si>
    <t>Stand Coeff for b1</t>
  </si>
  <si>
    <t>Stand Coeff for b2</t>
  </si>
  <si>
    <t>See "Standardized Coefficients" workpage for calculations</t>
  </si>
  <si>
    <t>R Squared</t>
  </si>
  <si>
    <t>Adjusted R Squared</t>
  </si>
  <si>
    <t>n=</t>
  </si>
  <si>
    <t>p=</t>
  </si>
  <si>
    <t>includes intercept</t>
  </si>
  <si>
    <t>Numerator</t>
  </si>
  <si>
    <t>Denominator</t>
  </si>
  <si>
    <t>Coefficient of Variation</t>
  </si>
  <si>
    <t>Square root of mean square error (residuals)</t>
  </si>
  <si>
    <t>average of y values</t>
  </si>
  <si>
    <t>mean/standard error</t>
  </si>
  <si>
    <t>number of observations</t>
  </si>
  <si>
    <t>(ei - ei-1)^2</t>
  </si>
  <si>
    <t>i</t>
  </si>
  <si>
    <t>ei</t>
  </si>
  <si>
    <t>ei^2</t>
  </si>
  <si>
    <r>
      <t>(</t>
    </r>
    <r>
      <rPr>
        <b/>
        <i/>
        <sz val="11"/>
        <color theme="1"/>
        <rFont val="Calibri"/>
        <family val="2"/>
        <scheme val="minor"/>
      </rPr>
      <t>H = X(X’X)</t>
    </r>
    <r>
      <rPr>
        <b/>
        <i/>
        <vertAlign val="superscript"/>
        <sz val="11"/>
        <color theme="1"/>
        <rFont val="Calibri"/>
        <family val="2"/>
        <scheme val="minor"/>
      </rPr>
      <t>-1</t>
    </r>
    <r>
      <rPr>
        <b/>
        <i/>
        <sz val="11"/>
        <color theme="1"/>
        <rFont val="Calibri"/>
        <family val="2"/>
        <scheme val="minor"/>
      </rPr>
      <t>X’</t>
    </r>
    <r>
      <rPr>
        <i/>
        <sz val="11"/>
        <color theme="1"/>
        <rFont val="Calibri"/>
        <family val="2"/>
        <scheme val="minor"/>
      </rPr>
      <t>)</t>
    </r>
  </si>
  <si>
    <t>H Matrix</t>
  </si>
  <si>
    <t>1-hii</t>
  </si>
  <si>
    <t>hii</t>
  </si>
  <si>
    <t>(ei/(1-hii))^2</t>
  </si>
  <si>
    <t>R-sq Predicted</t>
  </si>
  <si>
    <t>This workbooks details the manual calculations for regression anlaysis and gives the output from the SPC for Excel software.</t>
  </si>
  <si>
    <t>Detailed Calcuations are on the following worksheets:</t>
  </si>
  <si>
    <t>ANOVA Calculations</t>
  </si>
  <si>
    <t>Predictor Table Calculations</t>
  </si>
  <si>
    <t>Standardized Coefficients</t>
  </si>
  <si>
    <t>Regression Stat Calculations</t>
  </si>
  <si>
    <t>Output from the SPC for Excel software is given on the followng worksheets:</t>
  </si>
  <si>
    <t>Data</t>
  </si>
  <si>
    <t>Summary</t>
  </si>
  <si>
    <t>Regression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</si>
</sst>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00"/>
    <numFmt numFmtId="166" formatCode="0.000"/>
    <numFmt numFmtId="167" formatCode="0.00000"/>
    <numFmt numFmtId="168" formatCode="0.00000000"/>
    <numFmt numFmtId="169" formatCode="0.000000"/>
    <numFmt numFmtId="180" formatCode="_(* #,##0.0000000000000_);_(* \(#,##0.00000000000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indexed="9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0"/>
      <color theme="1"/>
      <name val="Symbol"/>
      <family val="1"/>
      <charset val="2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ourier New"/>
      <family val="1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2" fontId="0" fillId="0" borderId="0" xfId="0" applyNumberFormat="1"/>
    <xf numFmtId="0" fontId="1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3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0" fillId="0" borderId="0" xfId="0" applyNumberFormat="1" applyProtection="1"/>
    <xf numFmtId="2" fontId="0" fillId="0" borderId="0" xfId="0" applyNumberFormat="1" applyProtection="1"/>
    <xf numFmtId="165" fontId="4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166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Protection="1"/>
    <xf numFmtId="10" fontId="0" fillId="0" borderId="0" xfId="0" applyNumberFormat="1" applyProtection="1"/>
    <xf numFmtId="0" fontId="1" fillId="0" borderId="0" xfId="0" applyFont="1" applyProtection="1">
      <protection locked="0"/>
    </xf>
    <xf numFmtId="0" fontId="1" fillId="0" borderId="0" xfId="0" applyFont="1" applyProtection="1"/>
    <xf numFmtId="168" fontId="0" fillId="0" borderId="0" xfId="0" applyNumberFormat="1" applyProtection="1"/>
    <xf numFmtId="169" fontId="0" fillId="0" borderId="0" xfId="0" applyNumberFormat="1" applyProtection="1"/>
    <xf numFmtId="0" fontId="3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80" fontId="0" fillId="0" borderId="0" xfId="1" applyNumberFormat="1" applyFont="1" applyProtection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0" applyNumberForma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quotePrefix="1"/>
    <xf numFmtId="10" fontId="0" fillId="0" borderId="0" xfId="0" applyNumberFormat="1"/>
    <xf numFmtId="0" fontId="13" fillId="0" borderId="0" xfId="0" applyFont="1"/>
    <xf numFmtId="0" fontId="0" fillId="0" borderId="0" xfId="0" applyFill="1"/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166" fontId="0" fillId="0" borderId="0" xfId="0" applyNumberFormat="1" applyFill="1" applyProtection="1"/>
    <xf numFmtId="165" fontId="4" fillId="0" borderId="0" xfId="0" applyNumberFormat="1" applyFont="1" applyFill="1" applyProtection="1"/>
    <xf numFmtId="165" fontId="0" fillId="0" borderId="0" xfId="0" applyNumberFormat="1" applyFill="1" applyProtection="1"/>
    <xf numFmtId="167" fontId="0" fillId="0" borderId="0" xfId="0" applyNumberFormat="1" applyFill="1" applyProtection="1"/>
    <xf numFmtId="10" fontId="0" fillId="0" borderId="0" xfId="2" applyNumberFormat="1" applyFont="1"/>
    <xf numFmtId="0" fontId="14" fillId="0" borderId="0" xfId="0" applyFont="1"/>
    <xf numFmtId="0" fontId="0" fillId="0" borderId="0" xfId="0" applyAlignment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Normal Probablity Plot of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 Chart Data (1)'!$A$1:$A$25</c:f>
              <c:numCache>
                <c:formatCode>General</c:formatCode>
                <c:ptCount val="25"/>
                <c:pt idx="0">
                  <c:v>-5.7879699423215172</c:v>
                </c:pt>
                <c:pt idx="1">
                  <c:v>-5.0280843225638847</c:v>
                </c:pt>
                <c:pt idx="2">
                  <c:v>-4.6075678556721087</c:v>
                </c:pt>
                <c:pt idx="3">
                  <c:v>-4.5728535023392425</c:v>
                </c:pt>
                <c:pt idx="4">
                  <c:v>-3.686527888026724</c:v>
                </c:pt>
                <c:pt idx="5">
                  <c:v>-2.6141789270614701</c:v>
                </c:pt>
                <c:pt idx="6">
                  <c:v>-0.66292842559002452</c:v>
                </c:pt>
                <c:pt idx="7">
                  <c:v>-0.59304089622757061</c:v>
                </c:pt>
                <c:pt idx="8">
                  <c:v>-0.44439834717993065</c:v>
                </c:pt>
                <c:pt idx="9">
                  <c:v>-0.28957428378783234</c:v>
                </c:pt>
                <c:pt idx="10">
                  <c:v>-0.21258392596142173</c:v>
                </c:pt>
                <c:pt idx="11">
                  <c:v>-4.9793703906296116E-2</c:v>
                </c:pt>
                <c:pt idx="12">
                  <c:v>0.43636034004266655</c:v>
                </c:pt>
                <c:pt idx="13">
                  <c:v>0.6712017968389894</c:v>
                </c:pt>
                <c:pt idx="14">
                  <c:v>0.84462354547900986</c:v>
                </c:pt>
                <c:pt idx="15">
                  <c:v>1.0270093172060335</c:v>
                </c:pt>
                <c:pt idx="16">
                  <c:v>1.0675358610890804</c:v>
                </c:pt>
                <c:pt idx="17">
                  <c:v>1.1463854467594707</c:v>
                </c:pt>
                <c:pt idx="18">
                  <c:v>1.156604866877931</c:v>
                </c:pt>
                <c:pt idx="19">
                  <c:v>1.79319347778031</c:v>
                </c:pt>
                <c:pt idx="20">
                  <c:v>2.2374930212426776</c:v>
                </c:pt>
                <c:pt idx="21">
                  <c:v>2.3764129171549655</c:v>
                </c:pt>
                <c:pt idx="22">
                  <c:v>3.4486213148106799</c:v>
                </c:pt>
                <c:pt idx="23">
                  <c:v>4.9243539119269428</c:v>
                </c:pt>
                <c:pt idx="24">
                  <c:v>7.4197062034300245</c:v>
                </c:pt>
              </c:numCache>
            </c:numRef>
          </c:xVal>
          <c:yVal>
            <c:numRef>
              <c:f>'Reg Chart Data (1)'!$C$1:$C$25</c:f>
              <c:numCache>
                <c:formatCode>General</c:formatCode>
                <c:ptCount val="25"/>
                <c:pt idx="0">
                  <c:v>-2.0537489106318225</c:v>
                </c:pt>
                <c:pt idx="1">
                  <c:v>-1.554773594596853</c:v>
                </c:pt>
                <c:pt idx="2">
                  <c:v>-1.2815515655446006</c:v>
                </c:pt>
                <c:pt idx="3">
                  <c:v>-1.0803193408149565</c:v>
                </c:pt>
                <c:pt idx="4">
                  <c:v>-0.91536508784281501</c:v>
                </c:pt>
                <c:pt idx="5">
                  <c:v>-0.77219321418868503</c:v>
                </c:pt>
                <c:pt idx="6">
                  <c:v>-0.64334540539291696</c:v>
                </c:pt>
                <c:pt idx="7">
                  <c:v>-0.52440051270804089</c:v>
                </c:pt>
                <c:pt idx="8">
                  <c:v>-0.41246312944140484</c:v>
                </c:pt>
                <c:pt idx="9">
                  <c:v>-0.30548078809939727</c:v>
                </c:pt>
                <c:pt idx="10">
                  <c:v>-0.20189347914185088</c:v>
                </c:pt>
                <c:pt idx="11">
                  <c:v>-0.10043372051146976</c:v>
                </c:pt>
                <c:pt idx="12">
                  <c:v>0</c:v>
                </c:pt>
                <c:pt idx="13">
                  <c:v>0.10043372051146988</c:v>
                </c:pt>
                <c:pt idx="14">
                  <c:v>0.20189347914185077</c:v>
                </c:pt>
                <c:pt idx="15">
                  <c:v>0.30548078809939727</c:v>
                </c:pt>
                <c:pt idx="16">
                  <c:v>0.41246312944140473</c:v>
                </c:pt>
                <c:pt idx="17">
                  <c:v>0.52440051270804078</c:v>
                </c:pt>
                <c:pt idx="18">
                  <c:v>0.64334540539291696</c:v>
                </c:pt>
                <c:pt idx="19">
                  <c:v>0.77219321418868503</c:v>
                </c:pt>
                <c:pt idx="20">
                  <c:v>0.91536508784281256</c:v>
                </c:pt>
                <c:pt idx="21">
                  <c:v>1.0803193408149565</c:v>
                </c:pt>
                <c:pt idx="22">
                  <c:v>1.2815515655446006</c:v>
                </c:pt>
                <c:pt idx="23">
                  <c:v>1.5547735945968528</c:v>
                </c:pt>
                <c:pt idx="24">
                  <c:v>2.0537489106318221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3-425D-BFE2-9E23563B8F2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'Reg Chart Data (1)'!$A$1:$A$25</c:f>
              <c:numCache>
                <c:formatCode>General</c:formatCode>
                <c:ptCount val="25"/>
                <c:pt idx="0">
                  <c:v>-5.7879699423215172</c:v>
                </c:pt>
                <c:pt idx="1">
                  <c:v>-5.0280843225638847</c:v>
                </c:pt>
                <c:pt idx="2">
                  <c:v>-4.6075678556721087</c:v>
                </c:pt>
                <c:pt idx="3">
                  <c:v>-4.5728535023392425</c:v>
                </c:pt>
                <c:pt idx="4">
                  <c:v>-3.686527888026724</c:v>
                </c:pt>
                <c:pt idx="5">
                  <c:v>-2.6141789270614701</c:v>
                </c:pt>
                <c:pt idx="6">
                  <c:v>-0.66292842559002452</c:v>
                </c:pt>
                <c:pt idx="7">
                  <c:v>-0.59304089622757061</c:v>
                </c:pt>
                <c:pt idx="8">
                  <c:v>-0.44439834717993065</c:v>
                </c:pt>
                <c:pt idx="9">
                  <c:v>-0.28957428378783234</c:v>
                </c:pt>
                <c:pt idx="10">
                  <c:v>-0.21258392596142173</c:v>
                </c:pt>
                <c:pt idx="11">
                  <c:v>-4.9793703906296116E-2</c:v>
                </c:pt>
                <c:pt idx="12">
                  <c:v>0.43636034004266655</c:v>
                </c:pt>
                <c:pt idx="13">
                  <c:v>0.6712017968389894</c:v>
                </c:pt>
                <c:pt idx="14">
                  <c:v>0.84462354547900986</c:v>
                </c:pt>
                <c:pt idx="15">
                  <c:v>1.0270093172060335</c:v>
                </c:pt>
                <c:pt idx="16">
                  <c:v>1.0675358610890804</c:v>
                </c:pt>
                <c:pt idx="17">
                  <c:v>1.1463854467594707</c:v>
                </c:pt>
                <c:pt idx="18">
                  <c:v>1.156604866877931</c:v>
                </c:pt>
                <c:pt idx="19">
                  <c:v>1.79319347778031</c:v>
                </c:pt>
                <c:pt idx="20">
                  <c:v>2.2374930212426776</c:v>
                </c:pt>
                <c:pt idx="21">
                  <c:v>2.3764129171549655</c:v>
                </c:pt>
                <c:pt idx="22">
                  <c:v>3.4486213148106799</c:v>
                </c:pt>
                <c:pt idx="23">
                  <c:v>4.9243539119269428</c:v>
                </c:pt>
                <c:pt idx="24">
                  <c:v>7.4197062034300245</c:v>
                </c:pt>
              </c:numCache>
            </c:numRef>
          </c:xVal>
          <c:yVal>
            <c:numRef>
              <c:f>'Reg Chart Data (1)'!$D$1:$D$25</c:f>
              <c:numCache>
                <c:formatCode>General</c:formatCode>
                <c:ptCount val="25"/>
                <c:pt idx="0">
                  <c:v>-1.8546975574525428</c:v>
                </c:pt>
                <c:pt idx="1">
                  <c:v>-1.6111997478660436</c:v>
                </c:pt>
                <c:pt idx="2">
                  <c:v>-1.4764494171309257</c:v>
                </c:pt>
                <c:pt idx="3">
                  <c:v>-1.4653255469352233</c:v>
                </c:pt>
                <c:pt idx="4">
                  <c:v>-1.1813112952451568</c:v>
                </c:pt>
                <c:pt idx="5">
                  <c:v>-0.83768770727585051</c:v>
                </c:pt>
                <c:pt idx="6">
                  <c:v>-0.21242883842872395</c:v>
                </c:pt>
                <c:pt idx="7">
                  <c:v>-0.19003407285519272</c:v>
                </c:pt>
                <c:pt idx="8">
                  <c:v>-0.14240304239037313</c:v>
                </c:pt>
                <c:pt idx="9">
                  <c:v>-9.2791206967982168E-2</c:v>
                </c:pt>
                <c:pt idx="10">
                  <c:v>-6.8120410465751791E-2</c:v>
                </c:pt>
                <c:pt idx="11">
                  <c:v>-1.5955898515695569E-2</c:v>
                </c:pt>
                <c:pt idx="12">
                  <c:v>0.13982734273178041</c:v>
                </c:pt>
                <c:pt idx="13">
                  <c:v>0.21507995818230818</c:v>
                </c:pt>
                <c:pt idx="14">
                  <c:v>0.27065123737295016</c:v>
                </c:pt>
                <c:pt idx="15">
                  <c:v>0.3290949488481566</c:v>
                </c:pt>
                <c:pt idx="16">
                  <c:v>0.34208127785485704</c:v>
                </c:pt>
                <c:pt idx="17">
                  <c:v>0.36734784547810911</c:v>
                </c:pt>
                <c:pt idx="18">
                  <c:v>0.37062255728918791</c:v>
                </c:pt>
                <c:pt idx="19">
                  <c:v>0.57461106336445977</c:v>
                </c:pt>
                <c:pt idx="20">
                  <c:v>0.71698244508355891</c:v>
                </c:pt>
                <c:pt idx="21">
                  <c:v>0.76149794778963154</c:v>
                </c:pt>
                <c:pt idx="22">
                  <c:v>1.1050764936406359</c:v>
                </c:pt>
                <c:pt idx="23">
                  <c:v>1.5779603666738133</c:v>
                </c:pt>
                <c:pt idx="24">
                  <c:v>2.3775712572200134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E3-425D-BFE2-9E23563B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26816"/>
        <c:axId val="247927232"/>
      </c:scatterChart>
      <c:valAx>
        <c:axId val="247926816"/>
        <c:scaling>
          <c:orientation val="minMax"/>
          <c:max val="8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7927232"/>
        <c:crossesAt val="-3"/>
        <c:crossBetween val="midCat"/>
        <c:majorUnit val="2"/>
        <c:minorUnit val="0.5"/>
      </c:valAx>
      <c:valAx>
        <c:axId val="247927232"/>
        <c:scaling>
          <c:orientation val="minMax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7926816"/>
        <c:crossesAt val="-8"/>
        <c:crossBetween val="midCat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Predicted Values vs Observed Values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Pred</c:v>
          </c:tx>
          <c:spPr>
            <a:ln w="19050">
              <a:noFill/>
            </a:ln>
          </c:spPr>
          <c:xVal>
            <c:numRef>
              <c:f>'Residuals (1)'!$C$4:$C$28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xVal>
          <c:yVal>
            <c:numRef>
              <c:f>'Residuals (1)'!$D$4:$D$28</c:f>
              <c:numCache>
                <c:formatCode>0.00</c:formatCode>
                <c:ptCount val="25"/>
                <c:pt idx="0">
                  <c:v>21.708084322563884</c:v>
                </c:pt>
                <c:pt idx="1">
                  <c:v>10.353614553240529</c:v>
                </c:pt>
                <c:pt idx="2">
                  <c:v>12.079793703906295</c:v>
                </c:pt>
                <c:pt idx="3" formatCode="0.000">
                  <c:v>9.955646088073058</c:v>
                </c:pt>
                <c:pt idx="4">
                  <c:v>14.194398347179931</c:v>
                </c:pt>
                <c:pt idx="5">
                  <c:v>18.399574283787832</c:v>
                </c:pt>
                <c:pt idx="6" formatCode="0.000">
                  <c:v>7.1553764545209901</c:v>
                </c:pt>
                <c:pt idx="7">
                  <c:v>16.673395133122067</c:v>
                </c:pt>
                <c:pt idx="8">
                  <c:v>71.82029379656997</c:v>
                </c:pt>
                <c:pt idx="9">
                  <c:v>19.123587082845035</c:v>
                </c:pt>
                <c:pt idx="10">
                  <c:v>38.092506978757321</c:v>
                </c:pt>
                <c:pt idx="11">
                  <c:v>21.593040896227571</c:v>
                </c:pt>
                <c:pt idx="12">
                  <c:v>12.472990682793966</c:v>
                </c:pt>
                <c:pt idx="13">
                  <c:v>18.68246413891092</c:v>
                </c:pt>
                <c:pt idx="14">
                  <c:v>23.328798203161011</c:v>
                </c:pt>
                <c:pt idx="15">
                  <c:v>29.662928425590025</c:v>
                </c:pt>
                <c:pt idx="16">
                  <c:v>14.913639659957333</c:v>
                </c:pt>
                <c:pt idx="17">
                  <c:v>15.55137868518932</c:v>
                </c:pt>
                <c:pt idx="18" formatCode="0.000">
                  <c:v>7.70680652221969</c:v>
                </c:pt>
                <c:pt idx="19">
                  <c:v>40.887969942321519</c:v>
                </c:pt>
                <c:pt idx="20">
                  <c:v>20.514178927061469</c:v>
                </c:pt>
                <c:pt idx="21">
                  <c:v>56.006527888026724</c:v>
                </c:pt>
                <c:pt idx="22">
                  <c:v>23.357567855672109</c:v>
                </c:pt>
                <c:pt idx="23">
                  <c:v>24.402853502339241</c:v>
                </c:pt>
                <c:pt idx="24">
                  <c:v>10.962583925961422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E-4FCD-BBAA-AAAEBAA62EED}"/>
            </c:ext>
          </c:extLst>
        </c:ser>
        <c:ser>
          <c:idx val="1"/>
          <c:order val="1"/>
          <c:tx>
            <c:v>Center</c:v>
          </c:tx>
          <c:marker>
            <c:symbol val="none"/>
          </c:marker>
          <c:xVal>
            <c:numRef>
              <c:f>'Reg Chart Data (1)'!$E$1:$E$2</c:f>
              <c:numCache>
                <c:formatCode>General</c:formatCode>
                <c:ptCount val="2"/>
                <c:pt idx="0">
                  <c:v>7.1553764545209901</c:v>
                </c:pt>
                <c:pt idx="1">
                  <c:v>79.239999999999995</c:v>
                </c:pt>
              </c:numCache>
            </c:numRef>
          </c:xVal>
          <c:yVal>
            <c:numRef>
              <c:f>'Reg Chart Data (1)'!$F$1:$F$2</c:f>
              <c:numCache>
                <c:formatCode>General</c:formatCode>
                <c:ptCount val="2"/>
                <c:pt idx="0">
                  <c:v>7.1553764545209901</c:v>
                </c:pt>
                <c:pt idx="1">
                  <c:v>79.239999999999995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E-4FCD-BBAA-AAAEBAA6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16416"/>
        <c:axId val="247926816"/>
      </c:scatterChart>
      <c:valAx>
        <c:axId val="2479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7926816"/>
        <c:crosses val="autoZero"/>
        <c:crossBetween val="midCat"/>
      </c:valAx>
      <c:valAx>
        <c:axId val="24792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479164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2</xdr:row>
      <xdr:rowOff>91440</xdr:rowOff>
    </xdr:from>
    <xdr:to>
      <xdr:col>6</xdr:col>
      <xdr:colOff>7620</xdr:colOff>
      <xdr:row>5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0E2D3-EB24-661C-4DA7-9224D124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822960"/>
          <a:ext cx="1333500" cy="4724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182880</xdr:colOff>
      <xdr:row>5</xdr:row>
      <xdr:rowOff>129540</xdr:rowOff>
    </xdr:from>
    <xdr:to>
      <xdr:col>11</xdr:col>
      <xdr:colOff>335280</xdr:colOff>
      <xdr:row>8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05742C-A96A-25B2-C64E-F8527A4C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1409700"/>
          <a:ext cx="1371600" cy="4724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20</xdr:col>
      <xdr:colOff>320040</xdr:colOff>
      <xdr:row>3</xdr:row>
      <xdr:rowOff>106680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BEA71B-CCDF-6347-D550-3629B105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0560" y="548640"/>
          <a:ext cx="1539240" cy="4724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25</xdr:row>
      <xdr:rowOff>83820</xdr:rowOff>
    </xdr:from>
    <xdr:to>
      <xdr:col>11</xdr:col>
      <xdr:colOff>144780</xdr:colOff>
      <xdr:row>26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61702-9111-B125-4650-25234466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5082540"/>
          <a:ext cx="967740" cy="21336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10</xdr:col>
      <xdr:colOff>701040</xdr:colOff>
      <xdr:row>27</xdr:row>
      <xdr:rowOff>38100</xdr:rowOff>
    </xdr:from>
    <xdr:to>
      <xdr:col>12</xdr:col>
      <xdr:colOff>0</xdr:colOff>
      <xdr:row>29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B98B3B-AB56-D941-9502-9C9C2524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402580"/>
          <a:ext cx="670560" cy="35814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11</xdr:col>
      <xdr:colOff>358140</xdr:colOff>
      <xdr:row>30</xdr:row>
      <xdr:rowOff>1369</xdr:rowOff>
    </xdr:from>
    <xdr:to>
      <xdr:col>16</xdr:col>
      <xdr:colOff>87047</xdr:colOff>
      <xdr:row>33</xdr:row>
      <xdr:rowOff>81783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3A66F7-EEB2-77BB-1671-C2FE5A171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4300" y="5914489"/>
          <a:ext cx="2776907" cy="629054"/>
        </a:xfrm>
        <a:prstGeom prst="rect">
          <a:avLst/>
        </a:prstGeom>
      </xdr:spPr>
    </xdr:pic>
    <xdr:clientData/>
  </xdr:twoCellAnchor>
  <xdr:twoCellAnchor>
    <xdr:from>
      <xdr:col>18</xdr:col>
      <xdr:colOff>38100</xdr:colOff>
      <xdr:row>25</xdr:row>
      <xdr:rowOff>129540</xdr:rowOff>
    </xdr:from>
    <xdr:to>
      <xdr:col>19</xdr:col>
      <xdr:colOff>266700</xdr:colOff>
      <xdr:row>27</xdr:row>
      <xdr:rowOff>137160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359A0D-A5A2-E593-5C40-EB8E4EA3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460" y="5128260"/>
          <a:ext cx="838200" cy="3733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502920</xdr:colOff>
      <xdr:row>5</xdr:row>
      <xdr:rowOff>0</xdr:rowOff>
    </xdr:from>
    <xdr:to>
      <xdr:col>15</xdr:col>
      <xdr:colOff>99060</xdr:colOff>
      <xdr:row>7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36AD-CBB0-4174-9525-32F2CBA8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280160"/>
          <a:ext cx="815340" cy="5105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464820</xdr:colOff>
      <xdr:row>1</xdr:row>
      <xdr:rowOff>60960</xdr:rowOff>
    </xdr:from>
    <xdr:to>
      <xdr:col>15</xdr:col>
      <xdr:colOff>411480</xdr:colOff>
      <xdr:row>3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4EE199-377F-4EC5-88D7-6D34F1F6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609600"/>
          <a:ext cx="1165860" cy="4724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0</xdr:row>
      <xdr:rowOff>152400</xdr:rowOff>
    </xdr:from>
    <xdr:to>
      <xdr:col>4</xdr:col>
      <xdr:colOff>480060</xdr:colOff>
      <xdr:row>2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646681-5926-F527-78C8-FD915C06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152400"/>
          <a:ext cx="1303020" cy="3581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60960</xdr:colOff>
      <xdr:row>3</xdr:row>
      <xdr:rowOff>144780</xdr:rowOff>
    </xdr:from>
    <xdr:to>
      <xdr:col>4</xdr:col>
      <xdr:colOff>548640</xdr:colOff>
      <xdr:row>6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93694B-807D-1F1E-2829-A9347037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680" y="693420"/>
          <a:ext cx="1402080" cy="533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4</xdr:col>
      <xdr:colOff>472440</xdr:colOff>
      <xdr:row>21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0FF8AF-7CDB-3003-068B-A18481A5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474720"/>
          <a:ext cx="1386840" cy="3962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586740</xdr:colOff>
      <xdr:row>22</xdr:row>
      <xdr:rowOff>114300</xdr:rowOff>
    </xdr:from>
    <xdr:to>
      <xdr:col>4</xdr:col>
      <xdr:colOff>472440</xdr:colOff>
      <xdr:row>25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7BC950-3199-C8A3-077F-1378E72E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640" y="4137660"/>
          <a:ext cx="1409700" cy="47244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4</xdr:col>
      <xdr:colOff>579120</xdr:colOff>
      <xdr:row>28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E4CDB2-1B74-25DC-D0E7-1C3ABD60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4937760"/>
          <a:ext cx="1493520" cy="3581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0</xdr:rowOff>
        </xdr:from>
        <xdr:to>
          <xdr:col>8</xdr:col>
          <xdr:colOff>342900</xdr:colOff>
          <xdr:row>30</xdr:row>
          <xdr:rowOff>99060</xdr:rowOff>
        </xdr:to>
        <xdr:sp macro="" textlink="">
          <xdr:nvSpPr>
            <xdr:cNvPr id="2050" name="predbutton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Predict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4</xdr:col>
          <xdr:colOff>68580</xdr:colOff>
          <xdr:row>1</xdr:row>
          <xdr:rowOff>99060</xdr:rowOff>
        </xdr:to>
        <xdr:sp macro="" textlink="">
          <xdr:nvSpPr>
            <xdr:cNvPr id="3074" name="rchtbutto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Revise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38100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EF1E1-BAC2-2D06-4458-EF0CF4A4D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0</xdr:row>
      <xdr:rowOff>0</xdr:rowOff>
    </xdr:from>
    <xdr:to>
      <xdr:col>18</xdr:col>
      <xdr:colOff>76200</xdr:colOff>
      <xdr:row>29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D5E145B-620A-14CB-B7C9-08029E2E94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l\OneDrive\Desktop\spcforexcelv6WI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McNumber"/>
      <sheetName val="EULA"/>
      <sheetName val="Poisson Cap Analysis"/>
      <sheetName val="Ppk Snapshot"/>
      <sheetName val="Cpk Snapshot"/>
      <sheetName val="ANOX"/>
      <sheetName val="df"/>
      <sheetName val="ANOM"/>
      <sheetName val="ANOR"/>
      <sheetName val="ANOMmR"/>
      <sheetName val="H Values"/>
      <sheetName val="GRR Charts"/>
      <sheetName val="Type 1 Gage Study"/>
      <sheetName val="GRR ANOVA Report"/>
      <sheetName val="GRR Average &amp; Range"/>
      <sheetName val="GRR Nested Report"/>
      <sheetName val="Linearity Study"/>
      <sheetName val="Consistency Study"/>
      <sheetName val="Instrument Bias"/>
      <sheetName val="Instrument Error"/>
      <sheetName val="Consistency Charts"/>
      <sheetName val="Short EMP"/>
      <sheetName val="EMP Basic"/>
      <sheetName val="DOE Optimization"/>
      <sheetName val="OptWS"/>
      <sheetName val="ANOMd2"/>
      <sheetName val="All Distributions"/>
      <sheetName val="Distributions"/>
      <sheetName val="Columns"/>
      <sheetName val="Constants"/>
      <sheetName val="WHMcNumber Info"/>
      <sheetName val="KS"/>
      <sheetName val="FMEA"/>
      <sheetName val="Fishbone"/>
      <sheetName val="Version"/>
      <sheetName val="d2"/>
      <sheetName val="grrforms"/>
      <sheetName val="GRREffectiveness"/>
      <sheetName val="ANOVAOrig"/>
      <sheetName val="CT"/>
      <sheetName val="ToSave"/>
      <sheetName val="Tukey"/>
      <sheetName val="NullDist"/>
      <sheetName val="V6Help"/>
      <sheetName val="HelpIDURL"/>
      <sheetName val="HelpPage"/>
      <sheetName val="ANOME"/>
      <sheetName val="ANOMR"/>
      <sheetName val="MenuSheet"/>
      <sheetName val="Designs"/>
      <sheetName val="1"/>
      <sheetName val="2"/>
      <sheetName val="3"/>
      <sheetName val="4"/>
      <sheetName val="5"/>
      <sheetName val="6"/>
      <sheetName val="2(3-1) III"/>
      <sheetName val="2(4-1) IV"/>
      <sheetName val="2(5-1) V"/>
      <sheetName val="2(6-1) VI"/>
      <sheetName val="2(7-1) VII"/>
      <sheetName val="2(5-2) III"/>
      <sheetName val="2(6-2) IV"/>
      <sheetName val="2(6-3) III"/>
      <sheetName val="2(7-2) IV"/>
      <sheetName val="2(7-3) IV"/>
      <sheetName val="2(7-4) III"/>
      <sheetName val="2(8-2) V"/>
      <sheetName val="2(8-3) IV"/>
      <sheetName val="2(8-4) IV"/>
      <sheetName val="2(9-2) VI"/>
      <sheetName val="2(9-3) IV"/>
      <sheetName val="2(9-4) IV"/>
      <sheetName val="2(9-5) III"/>
      <sheetName val="2(10-3) V"/>
      <sheetName val="2(10-4) IV"/>
      <sheetName val="2(10-5) IV"/>
      <sheetName val="2(10-6) III"/>
      <sheetName val="2(11-5) IV"/>
      <sheetName val="2(11-6) IV"/>
      <sheetName val="2(11-7) III"/>
      <sheetName val="2(12-8) III"/>
      <sheetName val="2(13-9) III"/>
      <sheetName val="2(14-10) III"/>
      <sheetName val="2(15-11) III"/>
      <sheetName val="8 Run PB"/>
      <sheetName val="12 Run PB"/>
      <sheetName val="16 Run PB"/>
      <sheetName val="20 Run PB"/>
      <sheetName val="24 Run PB"/>
      <sheetName val="28 Run PB"/>
    </sheetNames>
    <definedNames>
      <definedName name="MoreRegOptions"/>
      <definedName name="PredictResul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584F-47BE-4437-93AF-0582A889E9CF}">
  <sheetPr codeName="Sheet1"/>
  <dimension ref="A1:J15"/>
  <sheetViews>
    <sheetView workbookViewId="0"/>
  </sheetViews>
  <sheetFormatPr defaultRowHeight="14.4" x14ac:dyDescent="0.3"/>
  <sheetData>
    <row r="1" spans="1:10" x14ac:dyDescent="0.3">
      <c r="A1" t="s">
        <v>3</v>
      </c>
      <c r="D1" t="s">
        <v>4</v>
      </c>
      <c r="G1" t="s">
        <v>5</v>
      </c>
      <c r="H1">
        <v>16</v>
      </c>
      <c r="J1" t="s">
        <v>6</v>
      </c>
    </row>
    <row r="15" spans="1:10" x14ac:dyDescent="0.3">
      <c r="A1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AE4E-1A9F-49B4-BCC6-0F8A7F315262}">
  <dimension ref="A1:A15"/>
  <sheetViews>
    <sheetView workbookViewId="0">
      <selection activeCell="C27" sqref="C27"/>
    </sheetView>
  </sheetViews>
  <sheetFormatPr defaultRowHeight="14.4" x14ac:dyDescent="0.3"/>
  <sheetData>
    <row r="1" spans="1:1" x14ac:dyDescent="0.3">
      <c r="A1" t="s">
        <v>137</v>
      </c>
    </row>
    <row r="3" spans="1:1" x14ac:dyDescent="0.3">
      <c r="A3" t="s">
        <v>138</v>
      </c>
    </row>
    <row r="4" spans="1:1" x14ac:dyDescent="0.3">
      <c r="A4" s="48" t="s">
        <v>139</v>
      </c>
    </row>
    <row r="5" spans="1:1" x14ac:dyDescent="0.3">
      <c r="A5" s="48" t="s">
        <v>140</v>
      </c>
    </row>
    <row r="6" spans="1:1" x14ac:dyDescent="0.3">
      <c r="A6" s="48" t="s">
        <v>141</v>
      </c>
    </row>
    <row r="7" spans="1:1" x14ac:dyDescent="0.3">
      <c r="A7" s="48" t="s">
        <v>142</v>
      </c>
    </row>
    <row r="8" spans="1:1" x14ac:dyDescent="0.3">
      <c r="A8" s="48" t="s">
        <v>132</v>
      </c>
    </row>
    <row r="11" spans="1:1" x14ac:dyDescent="0.3">
      <c r="A11" s="33" t="s">
        <v>143</v>
      </c>
    </row>
    <row r="12" spans="1:1" x14ac:dyDescent="0.3">
      <c r="A12" s="48" t="s">
        <v>144</v>
      </c>
    </row>
    <row r="13" spans="1:1" x14ac:dyDescent="0.3">
      <c r="A13" s="48" t="s">
        <v>145</v>
      </c>
    </row>
    <row r="14" spans="1:1" x14ac:dyDescent="0.3">
      <c r="A14" s="48" t="s">
        <v>49</v>
      </c>
    </row>
    <row r="15" spans="1:1" x14ac:dyDescent="0.3">
      <c r="A15" s="48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33C9-9A0E-4E2B-ADEB-365C64A8932D}">
  <sheetPr codeName="Sheet11"/>
  <dimension ref="A1:Q43"/>
  <sheetViews>
    <sheetView workbookViewId="0">
      <selection sqref="A1:C26"/>
    </sheetView>
  </sheetViews>
  <sheetFormatPr defaultRowHeight="14.4" x14ac:dyDescent="0.3"/>
  <cols>
    <col min="1" max="1" width="11.77734375" customWidth="1"/>
    <col min="2" max="2" width="12.5546875" customWidth="1"/>
    <col min="3" max="3" width="15.6640625" customWidth="1"/>
    <col min="6" max="6" width="8.88671875" customWidth="1"/>
    <col min="14" max="14" width="12" customWidth="1"/>
    <col min="17" max="17" width="12.44140625" customWidth="1"/>
  </cols>
  <sheetData>
    <row r="1" spans="1:17" s="25" customFormat="1" ht="43.2" x14ac:dyDescent="0.3">
      <c r="A1" s="12" t="s">
        <v>71</v>
      </c>
      <c r="B1" s="12" t="s">
        <v>72</v>
      </c>
      <c r="C1" s="12" t="s">
        <v>73</v>
      </c>
      <c r="F1" s="1" t="s">
        <v>74</v>
      </c>
      <c r="G1" s="25" t="s">
        <v>76</v>
      </c>
      <c r="H1" s="25" t="s">
        <v>77</v>
      </c>
      <c r="K1" s="1" t="s">
        <v>79</v>
      </c>
      <c r="M1" s="25" t="s">
        <v>82</v>
      </c>
      <c r="N1" s="25" t="s">
        <v>83</v>
      </c>
      <c r="P1" s="1" t="s">
        <v>85</v>
      </c>
      <c r="Q1" s="25" t="s">
        <v>86</v>
      </c>
    </row>
    <row r="2" spans="1:17" x14ac:dyDescent="0.3">
      <c r="A2" s="3">
        <v>7</v>
      </c>
      <c r="B2" s="3">
        <v>560</v>
      </c>
      <c r="C2" s="3">
        <v>16.68</v>
      </c>
      <c r="F2" t="s">
        <v>75</v>
      </c>
      <c r="G2">
        <f>AVERAGE(C2:C26)</f>
        <v>22.384</v>
      </c>
      <c r="H2">
        <f>(C2-$G$2)^2</f>
        <v>32.535616000000005</v>
      </c>
      <c r="M2">
        <f>$L$3+$L$4*A2+$L$5*B2</f>
        <v>21.708084322563849</v>
      </c>
      <c r="N2">
        <f>(M2-$G$2)^2</f>
        <v>0.45686200300397151</v>
      </c>
      <c r="Q2">
        <f>(C2-M2)^2</f>
        <v>25.281631954812362</v>
      </c>
    </row>
    <row r="3" spans="1:17" x14ac:dyDescent="0.3">
      <c r="A3" s="3">
        <v>3</v>
      </c>
      <c r="B3" s="3">
        <v>220</v>
      </c>
      <c r="C3" s="3">
        <v>11.5</v>
      </c>
      <c r="H3">
        <f t="shared" ref="H3:H26" si="0">(C3-$G$2)^2</f>
        <v>118.46145600000001</v>
      </c>
      <c r="K3" t="s">
        <v>29</v>
      </c>
      <c r="L3" s="13">
        <v>2.3412311451921965</v>
      </c>
      <c r="M3">
        <f t="shared" ref="M3:M26" si="1">$L$3+$L$4*A3+$L$5*B3</f>
        <v>10.353614553240517</v>
      </c>
      <c r="N3">
        <f t="shared" ref="N3:N26" si="2">(M3-$G$2)^2</f>
        <v>144.73017399760238</v>
      </c>
      <c r="Q3">
        <f t="shared" ref="Q3:Q26" si="3">(C3-M3)^2</f>
        <v>1.3141995925419399</v>
      </c>
    </row>
    <row r="4" spans="1:17" x14ac:dyDescent="0.3">
      <c r="A4" s="3">
        <v>3</v>
      </c>
      <c r="B4" s="3">
        <v>340</v>
      </c>
      <c r="C4" s="3">
        <v>12.03</v>
      </c>
      <c r="H4">
        <f t="shared" si="0"/>
        <v>107.20531600000002</v>
      </c>
      <c r="K4" t="s">
        <v>80</v>
      </c>
      <c r="L4" s="13">
        <v>1.61590721060925</v>
      </c>
      <c r="M4">
        <f t="shared" si="1"/>
        <v>12.079793703906283</v>
      </c>
      <c r="N4">
        <f t="shared" si="2"/>
        <v>106.1766673924574</v>
      </c>
      <c r="Q4">
        <f t="shared" si="3"/>
        <v>2.4794129487066508E-3</v>
      </c>
    </row>
    <row r="5" spans="1:17" x14ac:dyDescent="0.3">
      <c r="A5" s="3">
        <v>4</v>
      </c>
      <c r="B5" s="3">
        <v>80</v>
      </c>
      <c r="C5" s="3">
        <v>14.88</v>
      </c>
      <c r="H5">
        <f t="shared" si="0"/>
        <v>56.31001599999999</v>
      </c>
      <c r="K5" t="s">
        <v>81</v>
      </c>
      <c r="L5" s="14">
        <v>1.4384826255548044E-2</v>
      </c>
      <c r="M5">
        <f t="shared" si="1"/>
        <v>9.9556460880730402</v>
      </c>
      <c r="N5">
        <f t="shared" si="2"/>
        <v>154.46398096011018</v>
      </c>
      <c r="Q5">
        <f t="shared" si="3"/>
        <v>24.24926144991036</v>
      </c>
    </row>
    <row r="6" spans="1:17" x14ac:dyDescent="0.3">
      <c r="A6" s="3">
        <v>6</v>
      </c>
      <c r="B6" s="3">
        <v>150</v>
      </c>
      <c r="C6" s="3">
        <v>13.75</v>
      </c>
      <c r="H6">
        <f t="shared" si="0"/>
        <v>74.545956000000004</v>
      </c>
      <c r="M6">
        <f t="shared" si="1"/>
        <v>14.194398347179902</v>
      </c>
      <c r="N6">
        <f t="shared" si="2"/>
        <v>67.069575231873685</v>
      </c>
      <c r="Q6">
        <f t="shared" si="3"/>
        <v>0.1974898909762289</v>
      </c>
    </row>
    <row r="7" spans="1:17" x14ac:dyDescent="0.3">
      <c r="A7" s="3">
        <v>7</v>
      </c>
      <c r="B7" s="3">
        <v>330</v>
      </c>
      <c r="C7" s="3">
        <v>18.11</v>
      </c>
      <c r="H7">
        <f t="shared" si="0"/>
        <v>18.267076000000007</v>
      </c>
      <c r="M7">
        <f t="shared" si="1"/>
        <v>18.3995742837878</v>
      </c>
      <c r="N7">
        <f t="shared" si="2"/>
        <v>15.875648288013107</v>
      </c>
      <c r="Q7">
        <f t="shared" si="3"/>
        <v>8.3853265831217549E-2</v>
      </c>
    </row>
    <row r="8" spans="1:17" x14ac:dyDescent="0.3">
      <c r="A8" s="3">
        <v>2</v>
      </c>
      <c r="B8" s="3">
        <v>110</v>
      </c>
      <c r="C8" s="3">
        <v>8</v>
      </c>
      <c r="H8">
        <f t="shared" si="0"/>
        <v>206.89945600000001</v>
      </c>
      <c r="M8">
        <f t="shared" si="1"/>
        <v>7.1553764545209813</v>
      </c>
      <c r="N8">
        <f t="shared" si="2"/>
        <v>231.91097508991797</v>
      </c>
      <c r="Q8">
        <f t="shared" si="3"/>
        <v>0.71338893357754807</v>
      </c>
    </row>
    <row r="9" spans="1:17" x14ac:dyDescent="0.3">
      <c r="A9" s="3">
        <v>7</v>
      </c>
      <c r="B9" s="3">
        <v>210</v>
      </c>
      <c r="C9" s="3">
        <v>17.829999999999998</v>
      </c>
      <c r="H9">
        <f t="shared" si="0"/>
        <v>20.738916000000017</v>
      </c>
      <c r="M9">
        <f t="shared" si="1"/>
        <v>16.673395133122035</v>
      </c>
      <c r="N9">
        <f t="shared" si="2"/>
        <v>32.611007945610297</v>
      </c>
      <c r="Q9">
        <f t="shared" si="3"/>
        <v>1.3377348180857904</v>
      </c>
    </row>
    <row r="10" spans="1:17" x14ac:dyDescent="0.3">
      <c r="A10" s="3">
        <v>30</v>
      </c>
      <c r="B10" s="3">
        <v>1460</v>
      </c>
      <c r="C10" s="3">
        <v>79.239999999999995</v>
      </c>
      <c r="H10">
        <f t="shared" si="0"/>
        <v>3232.6047359999993</v>
      </c>
      <c r="M10">
        <f t="shared" si="1"/>
        <v>71.820293796569842</v>
      </c>
      <c r="N10">
        <f t="shared" si="2"/>
        <v>2443.9471443407697</v>
      </c>
      <c r="Q10">
        <f t="shared" si="3"/>
        <v>55.052040145219884</v>
      </c>
    </row>
    <row r="11" spans="1:17" x14ac:dyDescent="0.3">
      <c r="A11" s="3">
        <v>5</v>
      </c>
      <c r="B11" s="3">
        <v>605</v>
      </c>
      <c r="C11" s="3">
        <v>21.5</v>
      </c>
      <c r="H11">
        <f t="shared" si="0"/>
        <v>0.78145600000000059</v>
      </c>
      <c r="M11">
        <f t="shared" si="1"/>
        <v>19.123587082845013</v>
      </c>
      <c r="N11">
        <f t="shared" si="2"/>
        <v>10.630292390351093</v>
      </c>
      <c r="Q11">
        <f t="shared" si="3"/>
        <v>5.6473383528210741</v>
      </c>
    </row>
    <row r="12" spans="1:17" x14ac:dyDescent="0.3">
      <c r="A12" s="3">
        <v>16</v>
      </c>
      <c r="B12" s="3">
        <v>688</v>
      </c>
      <c r="C12" s="3">
        <v>40.33</v>
      </c>
      <c r="H12">
        <f t="shared" si="0"/>
        <v>322.05891599999995</v>
      </c>
      <c r="M12">
        <f t="shared" si="1"/>
        <v>38.09250697875725</v>
      </c>
      <c r="N12">
        <f t="shared" si="2"/>
        <v>246.7571915016652</v>
      </c>
      <c r="Q12">
        <f t="shared" si="3"/>
        <v>5.0063750201100028</v>
      </c>
    </row>
    <row r="13" spans="1:17" x14ac:dyDescent="0.3">
      <c r="A13" s="3">
        <v>10</v>
      </c>
      <c r="B13" s="3">
        <v>215</v>
      </c>
      <c r="C13" s="3">
        <v>21</v>
      </c>
      <c r="H13">
        <f t="shared" si="0"/>
        <v>1.9154560000000009</v>
      </c>
      <c r="M13">
        <f t="shared" si="1"/>
        <v>21.593040896227528</v>
      </c>
      <c r="N13">
        <f t="shared" si="2"/>
        <v>0.62561630384055267</v>
      </c>
      <c r="Q13">
        <f t="shared" si="3"/>
        <v>0.35169750459834959</v>
      </c>
    </row>
    <row r="14" spans="1:17" x14ac:dyDescent="0.3">
      <c r="A14" s="3">
        <v>4</v>
      </c>
      <c r="B14" s="3">
        <v>255</v>
      </c>
      <c r="C14" s="3">
        <v>13.5</v>
      </c>
      <c r="H14">
        <f t="shared" si="0"/>
        <v>78.925456000000011</v>
      </c>
      <c r="M14">
        <f t="shared" si="1"/>
        <v>12.472990682793949</v>
      </c>
      <c r="N14">
        <f t="shared" si="2"/>
        <v>98.228105685745163</v>
      </c>
      <c r="Q14">
        <f t="shared" si="3"/>
        <v>1.0547481376280397</v>
      </c>
    </row>
    <row r="15" spans="1:17" x14ac:dyDescent="0.3">
      <c r="A15" s="3">
        <v>6</v>
      </c>
      <c r="B15" s="3">
        <v>462</v>
      </c>
      <c r="C15" s="3">
        <v>19.75</v>
      </c>
      <c r="H15">
        <f t="shared" si="0"/>
        <v>6.9379560000000016</v>
      </c>
      <c r="M15">
        <f t="shared" si="1"/>
        <v>18.682464138910895</v>
      </c>
      <c r="N15">
        <f t="shared" si="2"/>
        <v>13.701367730928666</v>
      </c>
      <c r="Q15">
        <f t="shared" si="3"/>
        <v>1.1396328147112573</v>
      </c>
    </row>
    <row r="16" spans="1:17" x14ac:dyDescent="0.3">
      <c r="A16" s="3">
        <v>9</v>
      </c>
      <c r="B16" s="3">
        <v>448</v>
      </c>
      <c r="C16" s="3">
        <v>24</v>
      </c>
      <c r="H16">
        <f t="shared" si="0"/>
        <v>2.6114559999999991</v>
      </c>
      <c r="M16">
        <f t="shared" si="1"/>
        <v>23.328798203160972</v>
      </c>
      <c r="N16">
        <f t="shared" si="2"/>
        <v>0.89264364469619983</v>
      </c>
      <c r="Q16">
        <f t="shared" si="3"/>
        <v>0.45051185207994043</v>
      </c>
    </row>
    <row r="17" spans="1:17" x14ac:dyDescent="0.3">
      <c r="A17" s="3">
        <v>10</v>
      </c>
      <c r="B17" s="3">
        <v>776</v>
      </c>
      <c r="C17" s="3">
        <v>29</v>
      </c>
      <c r="H17">
        <f t="shared" si="0"/>
        <v>43.771455999999993</v>
      </c>
      <c r="M17">
        <f t="shared" si="1"/>
        <v>29.662928425589982</v>
      </c>
      <c r="N17">
        <f t="shared" si="2"/>
        <v>52.982799024861848</v>
      </c>
      <c r="Q17">
        <f t="shared" si="3"/>
        <v>0.43947409745521215</v>
      </c>
    </row>
    <row r="18" spans="1:17" x14ac:dyDescent="0.3">
      <c r="A18" s="3">
        <v>6</v>
      </c>
      <c r="B18" s="3">
        <v>200</v>
      </c>
      <c r="C18" s="3">
        <v>15.35</v>
      </c>
      <c r="H18">
        <f t="shared" si="0"/>
        <v>49.477156000000008</v>
      </c>
      <c r="M18">
        <f t="shared" si="1"/>
        <v>14.913639659957305</v>
      </c>
      <c r="N18">
        <f t="shared" si="2"/>
        <v>55.806283610082822</v>
      </c>
      <c r="Q18">
        <f t="shared" si="3"/>
        <v>0.19041034636217638</v>
      </c>
    </row>
    <row r="19" spans="1:17" x14ac:dyDescent="0.3">
      <c r="A19" s="3">
        <v>7</v>
      </c>
      <c r="B19" s="3">
        <v>132</v>
      </c>
      <c r="C19" s="3">
        <v>19</v>
      </c>
      <c r="H19">
        <f t="shared" si="0"/>
        <v>11.451456000000002</v>
      </c>
      <c r="M19">
        <f t="shared" si="1"/>
        <v>15.551378685189288</v>
      </c>
      <c r="N19">
        <f t="shared" si="2"/>
        <v>46.684714031605665</v>
      </c>
      <c r="Q19">
        <f t="shared" si="3"/>
        <v>11.892988972966764</v>
      </c>
    </row>
    <row r="20" spans="1:17" x14ac:dyDescent="0.3">
      <c r="A20" s="3">
        <v>3</v>
      </c>
      <c r="B20" s="3">
        <v>36</v>
      </c>
      <c r="C20" s="3">
        <v>9.5</v>
      </c>
      <c r="H20">
        <f t="shared" si="0"/>
        <v>165.997456</v>
      </c>
      <c r="M20">
        <f t="shared" si="1"/>
        <v>7.7068065222196758</v>
      </c>
      <c r="N20">
        <f t="shared" si="2"/>
        <v>215.4200083841973</v>
      </c>
      <c r="Q20">
        <f t="shared" si="3"/>
        <v>3.215542848753894</v>
      </c>
    </row>
    <row r="21" spans="1:17" x14ac:dyDescent="0.3">
      <c r="A21" s="3">
        <v>17</v>
      </c>
      <c r="B21" s="3">
        <v>770</v>
      </c>
      <c r="C21" s="3">
        <v>35.1</v>
      </c>
      <c r="H21">
        <f t="shared" si="0"/>
        <v>161.69665600000002</v>
      </c>
      <c r="M21">
        <f t="shared" si="1"/>
        <v>40.88796994232144</v>
      </c>
      <c r="N21">
        <f t="shared" si="2"/>
        <v>342.3969036263353</v>
      </c>
      <c r="Q21">
        <f t="shared" si="3"/>
        <v>33.500596053216441</v>
      </c>
    </row>
    <row r="22" spans="1:17" x14ac:dyDescent="0.3">
      <c r="A22" s="3">
        <v>10</v>
      </c>
      <c r="B22" s="3">
        <v>140</v>
      </c>
      <c r="C22" s="3">
        <v>17.899999999999999</v>
      </c>
      <c r="H22">
        <f t="shared" si="0"/>
        <v>20.106256000000016</v>
      </c>
      <c r="M22">
        <f t="shared" si="1"/>
        <v>20.514178927061426</v>
      </c>
      <c r="N22">
        <f t="shared" si="2"/>
        <v>3.4962308448051611</v>
      </c>
      <c r="Q22">
        <f t="shared" si="3"/>
        <v>6.8339314626920364</v>
      </c>
    </row>
    <row r="23" spans="1:17" x14ac:dyDescent="0.3">
      <c r="A23" s="3">
        <v>26</v>
      </c>
      <c r="B23" s="3">
        <v>810</v>
      </c>
      <c r="C23" s="3">
        <v>52.32</v>
      </c>
      <c r="H23">
        <f t="shared" si="0"/>
        <v>896.16409599999997</v>
      </c>
      <c r="M23">
        <f t="shared" si="1"/>
        <v>56.006527888026611</v>
      </c>
      <c r="N23">
        <f t="shared" si="2"/>
        <v>1130.4743815811271</v>
      </c>
      <c r="Q23">
        <f t="shared" si="3"/>
        <v>13.59048786919794</v>
      </c>
    </row>
    <row r="24" spans="1:17" x14ac:dyDescent="0.3">
      <c r="A24" s="3">
        <v>9</v>
      </c>
      <c r="B24" s="3">
        <v>450</v>
      </c>
      <c r="C24" s="3">
        <v>18.75</v>
      </c>
      <c r="H24">
        <f t="shared" si="0"/>
        <v>13.205956000000002</v>
      </c>
      <c r="M24">
        <f t="shared" si="1"/>
        <v>23.357567855672066</v>
      </c>
      <c r="N24">
        <f t="shared" si="2"/>
        <v>0.94783436959790424</v>
      </c>
      <c r="Q24">
        <f t="shared" si="3"/>
        <v>21.22968154462248</v>
      </c>
    </row>
    <row r="25" spans="1:17" x14ac:dyDescent="0.3">
      <c r="A25" s="3">
        <v>8</v>
      </c>
      <c r="B25" s="3">
        <v>635</v>
      </c>
      <c r="C25" s="3">
        <v>19.829999999999998</v>
      </c>
      <c r="H25">
        <f t="shared" si="0"/>
        <v>6.5229160000000102</v>
      </c>
      <c r="M25">
        <f t="shared" si="1"/>
        <v>24.402853502339205</v>
      </c>
      <c r="N25">
        <f t="shared" si="2"/>
        <v>4.0757694639072737</v>
      </c>
      <c r="Q25">
        <f t="shared" si="3"/>
        <v>20.910989153855951</v>
      </c>
    </row>
    <row r="26" spans="1:17" x14ac:dyDescent="0.3">
      <c r="A26" s="3">
        <v>4</v>
      </c>
      <c r="B26" s="3">
        <v>150</v>
      </c>
      <c r="C26" s="3">
        <v>10.75</v>
      </c>
      <c r="H26">
        <f t="shared" si="0"/>
        <v>135.34995600000002</v>
      </c>
      <c r="M26">
        <f t="shared" si="1"/>
        <v>10.962583925961404</v>
      </c>
      <c r="N26">
        <f t="shared" si="2"/>
        <v>130.44874513630722</v>
      </c>
      <c r="Q26">
        <f t="shared" si="3"/>
        <v>4.5191925577163679E-2</v>
      </c>
    </row>
    <row r="27" spans="1:17" x14ac:dyDescent="0.3">
      <c r="G27" s="26" t="s">
        <v>78</v>
      </c>
      <c r="H27" s="26">
        <f>SUM(H2:H26)</f>
        <v>5784.5425999999989</v>
      </c>
      <c r="I27" s="26"/>
      <c r="M27" s="26" t="s">
        <v>84</v>
      </c>
      <c r="N27">
        <f>SUM(N2:N26)</f>
        <v>5550.8109225794142</v>
      </c>
      <c r="P27" s="27" t="s">
        <v>87</v>
      </c>
      <c r="Q27">
        <f>SUM(Q2:Q26)</f>
        <v>233.73167742055278</v>
      </c>
    </row>
    <row r="31" spans="1:17" x14ac:dyDescent="0.3">
      <c r="A31" s="26" t="s">
        <v>11</v>
      </c>
    </row>
    <row r="32" spans="1:17" s="28" customFormat="1" x14ac:dyDescent="0.3">
      <c r="A32" s="28" t="s">
        <v>88</v>
      </c>
      <c r="B32" s="28" t="s">
        <v>13</v>
      </c>
      <c r="C32" s="28" t="s">
        <v>12</v>
      </c>
      <c r="D32" s="28" t="s">
        <v>14</v>
      </c>
      <c r="E32" s="28" t="s">
        <v>15</v>
      </c>
      <c r="F32" s="28" t="s">
        <v>24</v>
      </c>
    </row>
    <row r="33" spans="1:6" x14ac:dyDescent="0.3">
      <c r="A33" t="s">
        <v>17</v>
      </c>
      <c r="B33" s="4">
        <f>N27</f>
        <v>5550.8109225794142</v>
      </c>
      <c r="C33">
        <v>2</v>
      </c>
      <c r="D33">
        <f>B33/C33</f>
        <v>2775.4054612897071</v>
      </c>
      <c r="E33">
        <f>D33/D34</f>
        <v>261.2351086605621</v>
      </c>
      <c r="F33">
        <f>FDIST(E33, C33, C34)</f>
        <v>4.6874222077500535E-16</v>
      </c>
    </row>
    <row r="34" spans="1:6" x14ac:dyDescent="0.3">
      <c r="A34" t="s">
        <v>49</v>
      </c>
      <c r="B34" s="4">
        <f>Q27</f>
        <v>233.73167742055278</v>
      </c>
      <c r="C34">
        <v>22</v>
      </c>
      <c r="D34">
        <f>B34/C34</f>
        <v>10.624167155479672</v>
      </c>
    </row>
    <row r="35" spans="1:6" x14ac:dyDescent="0.3">
      <c r="A35" t="s">
        <v>19</v>
      </c>
      <c r="B35" s="4">
        <f>H27</f>
        <v>5784.5425999999989</v>
      </c>
      <c r="C35">
        <v>24</v>
      </c>
    </row>
    <row r="37" spans="1:6" x14ac:dyDescent="0.3">
      <c r="B37" s="9"/>
    </row>
    <row r="38" spans="1:6" x14ac:dyDescent="0.3">
      <c r="B38" s="9"/>
      <c r="C38" s="30" t="s">
        <v>89</v>
      </c>
    </row>
    <row r="39" spans="1:6" x14ac:dyDescent="0.3">
      <c r="B39" s="9"/>
      <c r="C39" s="31" t="s">
        <v>90</v>
      </c>
    </row>
    <row r="40" spans="1:6" x14ac:dyDescent="0.3">
      <c r="C40" s="30" t="s">
        <v>91</v>
      </c>
    </row>
    <row r="42" spans="1:6" x14ac:dyDescent="0.3">
      <c r="C42" t="s">
        <v>92</v>
      </c>
    </row>
    <row r="43" spans="1:6" x14ac:dyDescent="0.3">
      <c r="C43" t="s">
        <v>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A282-73B8-4480-853D-17872BA7607B}">
  <sheetPr codeName="Sheet12"/>
  <dimension ref="A1:AH36"/>
  <sheetViews>
    <sheetView workbookViewId="0"/>
  </sheetViews>
  <sheetFormatPr defaultRowHeight="14.4" x14ac:dyDescent="0.3"/>
  <cols>
    <col min="9" max="9" width="16.44140625" customWidth="1"/>
    <col min="11" max="11" width="11.109375" customWidth="1"/>
  </cols>
  <sheetData>
    <row r="1" spans="1:34" ht="43.2" x14ac:dyDescent="0.3">
      <c r="A1" s="12" t="s">
        <v>29</v>
      </c>
      <c r="B1" s="12" t="s">
        <v>71</v>
      </c>
      <c r="C1" s="12" t="s">
        <v>72</v>
      </c>
      <c r="D1" s="12" t="s">
        <v>73</v>
      </c>
      <c r="F1" s="12" t="s">
        <v>94</v>
      </c>
      <c r="I1" s="12" t="s">
        <v>98</v>
      </c>
    </row>
    <row r="2" spans="1:34" x14ac:dyDescent="0.3">
      <c r="A2">
        <v>1</v>
      </c>
      <c r="B2" s="3">
        <v>7</v>
      </c>
      <c r="C2" s="3">
        <v>560</v>
      </c>
      <c r="D2" s="3">
        <v>16.68</v>
      </c>
      <c r="F2" t="s">
        <v>96</v>
      </c>
      <c r="I2" t="s">
        <v>99</v>
      </c>
      <c r="J2" cm="1">
        <f t="array" ref="J2:AH4">TRANSPOSE(XVector)</f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</row>
    <row r="3" spans="1:34" x14ac:dyDescent="0.3">
      <c r="A3">
        <v>1</v>
      </c>
      <c r="B3" s="3">
        <v>3</v>
      </c>
      <c r="C3" s="3">
        <v>220</v>
      </c>
      <c r="D3" s="3">
        <v>11.5</v>
      </c>
      <c r="F3" t="s">
        <v>95</v>
      </c>
      <c r="J3">
        <v>7</v>
      </c>
      <c r="K3">
        <v>3</v>
      </c>
      <c r="L3">
        <v>3</v>
      </c>
      <c r="M3">
        <v>4</v>
      </c>
      <c r="N3">
        <v>6</v>
      </c>
      <c r="O3">
        <v>7</v>
      </c>
      <c r="P3">
        <v>2</v>
      </c>
      <c r="Q3">
        <v>7</v>
      </c>
      <c r="R3">
        <v>30</v>
      </c>
      <c r="S3">
        <v>5</v>
      </c>
      <c r="T3">
        <v>16</v>
      </c>
      <c r="U3">
        <v>10</v>
      </c>
      <c r="V3">
        <v>4</v>
      </c>
      <c r="W3">
        <v>6</v>
      </c>
      <c r="X3">
        <v>9</v>
      </c>
      <c r="Y3">
        <v>10</v>
      </c>
      <c r="Z3">
        <v>6</v>
      </c>
      <c r="AA3">
        <v>7</v>
      </c>
      <c r="AB3">
        <v>3</v>
      </c>
      <c r="AC3">
        <v>17</v>
      </c>
      <c r="AD3">
        <v>10</v>
      </c>
      <c r="AE3">
        <v>26</v>
      </c>
      <c r="AF3">
        <v>9</v>
      </c>
      <c r="AG3">
        <v>8</v>
      </c>
      <c r="AH3">
        <v>4</v>
      </c>
    </row>
    <row r="4" spans="1:34" x14ac:dyDescent="0.3">
      <c r="A4">
        <v>1</v>
      </c>
      <c r="B4" s="3">
        <v>3</v>
      </c>
      <c r="C4" s="3">
        <v>340</v>
      </c>
      <c r="D4" s="3">
        <v>12.03</v>
      </c>
      <c r="J4">
        <v>560</v>
      </c>
      <c r="K4">
        <v>220</v>
      </c>
      <c r="L4">
        <v>340</v>
      </c>
      <c r="M4">
        <v>80</v>
      </c>
      <c r="N4">
        <v>150</v>
      </c>
      <c r="O4">
        <v>330</v>
      </c>
      <c r="P4">
        <v>110</v>
      </c>
      <c r="Q4">
        <v>210</v>
      </c>
      <c r="R4">
        <v>1460</v>
      </c>
      <c r="S4">
        <v>605</v>
      </c>
      <c r="T4">
        <v>688</v>
      </c>
      <c r="U4">
        <v>215</v>
      </c>
      <c r="V4">
        <v>255</v>
      </c>
      <c r="W4">
        <v>462</v>
      </c>
      <c r="X4">
        <v>448</v>
      </c>
      <c r="Y4">
        <v>776</v>
      </c>
      <c r="Z4">
        <v>200</v>
      </c>
      <c r="AA4">
        <v>132</v>
      </c>
      <c r="AB4">
        <v>36</v>
      </c>
      <c r="AC4">
        <v>770</v>
      </c>
      <c r="AD4">
        <v>140</v>
      </c>
      <c r="AE4">
        <v>810</v>
      </c>
      <c r="AF4">
        <v>450</v>
      </c>
      <c r="AG4">
        <v>635</v>
      </c>
      <c r="AH4">
        <v>150</v>
      </c>
    </row>
    <row r="5" spans="1:34" x14ac:dyDescent="0.3">
      <c r="A5">
        <v>1</v>
      </c>
      <c r="B5" s="3">
        <v>4</v>
      </c>
      <c r="C5" s="3">
        <v>80</v>
      </c>
      <c r="D5" s="3">
        <v>14.88</v>
      </c>
      <c r="F5" t="s">
        <v>97</v>
      </c>
    </row>
    <row r="6" spans="1:34" ht="15" x14ac:dyDescent="0.3">
      <c r="A6">
        <v>1</v>
      </c>
      <c r="B6" s="3">
        <v>6</v>
      </c>
      <c r="C6" s="3">
        <v>150</v>
      </c>
      <c r="D6" s="3">
        <v>13.75</v>
      </c>
      <c r="F6" s="32" t="s">
        <v>68</v>
      </c>
      <c r="I6" s="26" t="s">
        <v>100</v>
      </c>
      <c r="J6" cm="1">
        <f t="array" ref="J6:L8">MMULT(_xlfn.ANCHORARRAY(J2), XVector)</f>
        <v>25</v>
      </c>
      <c r="K6">
        <v>219</v>
      </c>
      <c r="L6">
        <v>10232</v>
      </c>
    </row>
    <row r="7" spans="1:34" x14ac:dyDescent="0.3">
      <c r="A7">
        <v>1</v>
      </c>
      <c r="B7" s="3">
        <v>7</v>
      </c>
      <c r="C7" s="3">
        <v>330</v>
      </c>
      <c r="D7" s="3">
        <v>18.11</v>
      </c>
      <c r="J7">
        <v>219</v>
      </c>
      <c r="K7">
        <v>3055</v>
      </c>
      <c r="L7">
        <v>133899</v>
      </c>
    </row>
    <row r="8" spans="1:34" x14ac:dyDescent="0.3">
      <c r="A8">
        <v>1</v>
      </c>
      <c r="B8" s="3">
        <v>2</v>
      </c>
      <c r="C8" s="3">
        <v>110</v>
      </c>
      <c r="D8" s="3">
        <v>8</v>
      </c>
      <c r="J8">
        <v>10232</v>
      </c>
      <c r="K8">
        <v>133899</v>
      </c>
      <c r="L8">
        <v>6725688</v>
      </c>
    </row>
    <row r="9" spans="1:34" x14ac:dyDescent="0.3">
      <c r="A9">
        <v>1</v>
      </c>
      <c r="B9" s="3">
        <v>7</v>
      </c>
      <c r="C9" s="3">
        <v>210</v>
      </c>
      <c r="D9" s="3">
        <v>17.829999999999998</v>
      </c>
    </row>
    <row r="10" spans="1:34" ht="16.2" x14ac:dyDescent="0.3">
      <c r="A10">
        <v>1</v>
      </c>
      <c r="B10" s="3">
        <v>30</v>
      </c>
      <c r="C10" s="3">
        <v>1460</v>
      </c>
      <c r="D10" s="3">
        <v>79.239999999999995</v>
      </c>
      <c r="I10" s="26" t="s">
        <v>101</v>
      </c>
      <c r="J10" cm="1">
        <f t="array" ref="J10:L12">MINVERSE(_xlfn.ANCHORARRAY(J6))</f>
        <v>0.11321518611235105</v>
      </c>
      <c r="K10">
        <v>-4.4485932353407051E-3</v>
      </c>
      <c r="L10">
        <v>-8.3672569807384634E-5</v>
      </c>
    </row>
    <row r="11" spans="1:34" x14ac:dyDescent="0.3">
      <c r="A11">
        <v>1</v>
      </c>
      <c r="B11" s="3">
        <v>5</v>
      </c>
      <c r="C11" s="3">
        <v>605</v>
      </c>
      <c r="D11" s="3">
        <v>21.5</v>
      </c>
      <c r="J11">
        <v>-4.4485932353406938E-3</v>
      </c>
      <c r="K11">
        <v>2.7437832908544747E-3</v>
      </c>
      <c r="L11">
        <v>-4.7857086572870677E-5</v>
      </c>
    </row>
    <row r="12" spans="1:34" x14ac:dyDescent="0.3">
      <c r="A12">
        <v>1</v>
      </c>
      <c r="B12" s="3">
        <v>16</v>
      </c>
      <c r="C12" s="3">
        <v>688</v>
      </c>
      <c r="D12" s="3">
        <v>40.33</v>
      </c>
      <c r="J12">
        <v>-8.3672569807385122E-5</v>
      </c>
      <c r="K12">
        <v>-4.785708657287065E-5</v>
      </c>
      <c r="L12">
        <v>1.2287447424397281E-6</v>
      </c>
    </row>
    <row r="13" spans="1:34" x14ac:dyDescent="0.3">
      <c r="A13">
        <v>1</v>
      </c>
      <c r="B13" s="3">
        <v>10</v>
      </c>
      <c r="C13" s="3">
        <v>215</v>
      </c>
      <c r="D13" s="3">
        <v>21</v>
      </c>
    </row>
    <row r="14" spans="1:34" ht="16.2" x14ac:dyDescent="0.3">
      <c r="A14">
        <v>1</v>
      </c>
      <c r="B14" s="3">
        <v>4</v>
      </c>
      <c r="C14" s="3">
        <v>255</v>
      </c>
      <c r="D14" s="3">
        <v>13.5</v>
      </c>
      <c r="I14" s="26" t="s">
        <v>102</v>
      </c>
      <c r="J14" cm="1">
        <f t="array" ref="J14:AH16">MMULT(_xlfn.ANCHORARRAY(J10),_xlfn.ANCHORARRAY( J2))</f>
        <v>3.5218394372830718E-2</v>
      </c>
      <c r="K14">
        <v>8.1461441048704314E-2</v>
      </c>
      <c r="L14">
        <v>7.1420732671818157E-2</v>
      </c>
      <c r="M14">
        <v>8.8727007586397455E-2</v>
      </c>
      <c r="N14">
        <v>7.397274122919914E-2</v>
      </c>
      <c r="O14">
        <v>5.4463085428529179E-2</v>
      </c>
      <c r="P14">
        <v>9.5114016962857331E-2</v>
      </c>
      <c r="Q14">
        <v>6.4503793805415335E-2</v>
      </c>
      <c r="R14">
        <v>-0.14240456286665165</v>
      </c>
      <c r="S14">
        <v>4.0350315202179819E-2</v>
      </c>
      <c r="T14">
        <v>-1.5529033680580853E-2</v>
      </c>
      <c r="U14">
        <v>5.0739651250356316E-2</v>
      </c>
      <c r="V14">
        <v>7.4084307870105143E-2</v>
      </c>
      <c r="W14">
        <v>4.7866899449295133E-2</v>
      </c>
      <c r="X14">
        <v>3.5692535720576388E-2</v>
      </c>
      <c r="Y14">
        <v>3.7993395884135389E-3</v>
      </c>
      <c r="Z14">
        <v>6.97891127388299E-2</v>
      </c>
      <c r="AA14">
        <v>7.1030254250391334E-2</v>
      </c>
      <c r="AB14">
        <v>9.6857193893263083E-2</v>
      </c>
      <c r="AC14">
        <v>-2.6838777640127098E-2</v>
      </c>
      <c r="AD14">
        <v>5.7015093985910162E-2</v>
      </c>
      <c r="AE14">
        <v>-7.0223019550488819E-2</v>
      </c>
      <c r="AF14">
        <v>3.5525190580961617E-2</v>
      </c>
      <c r="AG14">
        <v>2.449435840193618E-2</v>
      </c>
      <c r="AH14">
        <v>8.2869927699880538E-2</v>
      </c>
    </row>
    <row r="15" spans="1:34" x14ac:dyDescent="0.3">
      <c r="A15">
        <v>1</v>
      </c>
      <c r="B15" s="3">
        <v>6</v>
      </c>
      <c r="C15" s="3">
        <v>462</v>
      </c>
      <c r="D15" s="3">
        <v>19.75</v>
      </c>
      <c r="J15">
        <v>-1.204207868016695E-2</v>
      </c>
      <c r="K15">
        <v>-6.7458024088088188E-3</v>
      </c>
      <c r="L15">
        <v>-1.2488652797553302E-2</v>
      </c>
      <c r="M15">
        <v>2.6979730022475509E-3</v>
      </c>
      <c r="N15">
        <v>4.8355435238555513E-3</v>
      </c>
      <c r="O15">
        <v>-1.034948768406695E-3</v>
      </c>
      <c r="P15">
        <v>-4.2253061766475185E-3</v>
      </c>
      <c r="Q15">
        <v>4.7079016203377851E-3</v>
      </c>
      <c r="R15">
        <v>7.9935590939023693E-3</v>
      </c>
      <c r="S15">
        <v>-1.9683214157655081E-2</v>
      </c>
      <c r="T15">
        <v>6.5262638561958755E-3</v>
      </c>
      <c r="U15">
        <v>1.2699966060036861E-2</v>
      </c>
      <c r="V15">
        <v>-5.677017148004818E-3</v>
      </c>
      <c r="W15">
        <v>-1.0095867486880102E-2</v>
      </c>
      <c r="X15">
        <v>-1.1945184022964864E-3</v>
      </c>
      <c r="Y15">
        <v>-1.4147859507343589E-2</v>
      </c>
      <c r="Z15">
        <v>2.4426891952120163E-3</v>
      </c>
      <c r="AA15">
        <v>8.4407543730216986E-3</v>
      </c>
      <c r="AB15">
        <v>2.059901520599385E-3</v>
      </c>
      <c r="AC15">
        <v>5.3457660480749555E-3</v>
      </c>
      <c r="AD15">
        <v>1.6289247553002161E-2</v>
      </c>
      <c r="AE15">
        <v>2.8125532202850405E-2</v>
      </c>
      <c r="AF15">
        <v>-1.2902325754422274E-3</v>
      </c>
      <c r="AG15">
        <v>-1.2887576882277776E-2</v>
      </c>
      <c r="AH15">
        <v>-6.5202305785339639E-4</v>
      </c>
    </row>
    <row r="16" spans="1:34" x14ac:dyDescent="0.3">
      <c r="A16">
        <v>1</v>
      </c>
      <c r="B16" s="3">
        <v>9</v>
      </c>
      <c r="C16" s="3">
        <v>448</v>
      </c>
      <c r="D16" s="3">
        <v>24</v>
      </c>
      <c r="J16">
        <v>2.6942487994876814E-4</v>
      </c>
      <c r="K16">
        <v>4.3080013810743104E-5</v>
      </c>
      <c r="L16">
        <v>1.9052938290351048E-4</v>
      </c>
      <c r="M16">
        <v>-1.7680133670368948E-4</v>
      </c>
      <c r="N16">
        <v>-1.8650337787864981E-4</v>
      </c>
      <c r="O16">
        <v>-1.3186410812369358E-5</v>
      </c>
      <c r="P16">
        <v>-4.4224821284756337E-5</v>
      </c>
      <c r="Q16">
        <v>-1.6063577990513674E-4</v>
      </c>
      <c r="R16">
        <v>2.7458215696849831E-4</v>
      </c>
      <c r="S16">
        <v>4.2043256650429718E-4</v>
      </c>
      <c r="T16">
        <v>-4.0095721747825108E-6</v>
      </c>
      <c r="U16">
        <v>-2.9806331591155006E-4</v>
      </c>
      <c r="V16">
        <v>3.8228993223262927E-5</v>
      </c>
      <c r="W16">
        <v>1.9686498176254533E-4</v>
      </c>
      <c r="X16">
        <v>3.609129564977726E-5</v>
      </c>
      <c r="Y16">
        <v>3.9126248459713745E-4</v>
      </c>
      <c r="Z16">
        <v>-1.2506614075666339E-4</v>
      </c>
      <c r="AA16">
        <v>-2.5647786981543552E-4</v>
      </c>
      <c r="AB16">
        <v>-1.8300901879816686E-4</v>
      </c>
      <c r="AC16">
        <v>4.8890410132404493E-5</v>
      </c>
      <c r="AD16">
        <v>-3.9021917159452963E-4</v>
      </c>
      <c r="AE16">
        <v>-3.3267357932584242E-4</v>
      </c>
      <c r="AF16">
        <v>3.8548785134656627E-5</v>
      </c>
      <c r="AG16">
        <v>3.1372364905887703E-4</v>
      </c>
      <c r="AH16">
        <v>-9.0789204732908525E-5</v>
      </c>
    </row>
    <row r="17" spans="1:20" x14ac:dyDescent="0.3">
      <c r="A17">
        <v>1</v>
      </c>
      <c r="B17" s="3">
        <v>10</v>
      </c>
      <c r="C17" s="3">
        <v>776</v>
      </c>
      <c r="D17" s="3">
        <v>29</v>
      </c>
    </row>
    <row r="18" spans="1:20" ht="15" x14ac:dyDescent="0.3">
      <c r="A18">
        <v>1</v>
      </c>
      <c r="B18" s="3">
        <v>6</v>
      </c>
      <c r="C18" s="3">
        <v>200</v>
      </c>
      <c r="D18" s="3">
        <v>15.35</v>
      </c>
      <c r="I18" s="32" t="s">
        <v>68</v>
      </c>
      <c r="J18" cm="1">
        <f t="array" ref="J18:J20">MMULT(_xlfn.ANCHORARRAY(J14), YVector)</f>
        <v>2.341231145192288</v>
      </c>
      <c r="K18" s="34" t="s">
        <v>103</v>
      </c>
    </row>
    <row r="19" spans="1:20" x14ac:dyDescent="0.3">
      <c r="A19">
        <v>1</v>
      </c>
      <c r="B19" s="3">
        <v>7</v>
      </c>
      <c r="C19" s="3">
        <v>132</v>
      </c>
      <c r="D19" s="3">
        <v>19</v>
      </c>
      <c r="J19">
        <v>1.6159072106092487</v>
      </c>
      <c r="K19" s="34"/>
    </row>
    <row r="20" spans="1:20" x14ac:dyDescent="0.3">
      <c r="A20">
        <v>1</v>
      </c>
      <c r="B20" s="3">
        <v>3</v>
      </c>
      <c r="C20" s="3">
        <v>36</v>
      </c>
      <c r="D20" s="3">
        <v>9.5</v>
      </c>
      <c r="J20">
        <v>1.4384826255548039E-2</v>
      </c>
      <c r="K20" s="34"/>
    </row>
    <row r="21" spans="1:20" x14ac:dyDescent="0.3">
      <c r="A21">
        <v>1</v>
      </c>
      <c r="B21" s="3">
        <v>17</v>
      </c>
      <c r="C21" s="3">
        <v>770</v>
      </c>
      <c r="D21" s="3">
        <v>35.1</v>
      </c>
      <c r="K21" s="24"/>
    </row>
    <row r="22" spans="1:20" x14ac:dyDescent="0.3">
      <c r="A22">
        <v>1</v>
      </c>
      <c r="B22" s="3">
        <v>10</v>
      </c>
      <c r="C22" s="3">
        <v>140</v>
      </c>
      <c r="D22" s="3">
        <v>17.899999999999999</v>
      </c>
      <c r="I22" s="28" t="s">
        <v>20</v>
      </c>
      <c r="J22" s="28" t="s">
        <v>104</v>
      </c>
      <c r="K22" s="28" t="s">
        <v>105</v>
      </c>
      <c r="L22" s="28" t="s">
        <v>23</v>
      </c>
      <c r="M22" s="28" t="s">
        <v>24</v>
      </c>
      <c r="N22" s="28" t="s">
        <v>25</v>
      </c>
      <c r="O22" s="28" t="s">
        <v>26</v>
      </c>
      <c r="P22" s="28" t="s">
        <v>27</v>
      </c>
      <c r="Q22" s="28" t="s">
        <v>28</v>
      </c>
    </row>
    <row r="23" spans="1:20" x14ac:dyDescent="0.3">
      <c r="A23">
        <v>1</v>
      </c>
      <c r="B23" s="3">
        <v>26</v>
      </c>
      <c r="C23" s="3">
        <v>810</v>
      </c>
      <c r="D23" s="3">
        <v>52.32</v>
      </c>
      <c r="I23" s="3" t="s">
        <v>29</v>
      </c>
      <c r="J23" s="29">
        <f>J18</f>
        <v>2.341231145192288</v>
      </c>
      <c r="K23" s="29">
        <f>SQRT('ANOVA Calculations'!D34*'Predictor Table Calculations'!J10)</f>
        <v>1.0967301681801036</v>
      </c>
      <c r="L23" s="29">
        <f>J23/K23</f>
        <v>2.1347376165253933</v>
      </c>
      <c r="M23" s="29">
        <f>_xlfn.T.DIST.2T(ABS(L23), 'ANOVA Calculations'!C34)</f>
        <v>4.4170124156742492E-2</v>
      </c>
      <c r="N23" s="29">
        <f>J23-TINV(0.05,22)*K23</f>
        <v>6.6751986645718464E-2</v>
      </c>
      <c r="O23" s="29">
        <f>J23+_xlfn.T.INV.2T(0.05,22)*K23</f>
        <v>4.615710303738858</v>
      </c>
    </row>
    <row r="24" spans="1:20" x14ac:dyDescent="0.3">
      <c r="A24">
        <v>1</v>
      </c>
      <c r="B24" s="3">
        <v>9</v>
      </c>
      <c r="C24" s="3">
        <v>450</v>
      </c>
      <c r="D24" s="3">
        <v>18.75</v>
      </c>
      <c r="I24" s="3" t="s">
        <v>0</v>
      </c>
      <c r="J24" s="29">
        <f t="shared" ref="J24:J25" si="0">J19</f>
        <v>1.6159072106092487</v>
      </c>
      <c r="K24" s="29">
        <f>SQRT('ANOVA Calculations'!D34*'Predictor Table Calculations'!K11)</f>
        <v>0.17073491828108869</v>
      </c>
      <c r="L24" s="29">
        <f t="shared" ref="L24:L25" si="1">J24/K24</f>
        <v>9.4644213783433973</v>
      </c>
      <c r="M24" s="29">
        <f>_xlfn.T.DIST.2T(ABS(L24), 'ANOVA Calculations'!C34)</f>
        <v>3.2549315736658289E-9</v>
      </c>
      <c r="N24" s="29">
        <f t="shared" ref="N24:N25" si="2">J24-TINV(0.05,22)*K24</f>
        <v>1.2618246618353042</v>
      </c>
      <c r="O24" s="29">
        <f t="shared" ref="O24:O25" si="3">J24+_xlfn.T.INV.2T(0.05,22)*K24</f>
        <v>1.9699897593831932</v>
      </c>
      <c r="P24" s="29">
        <f>1/(1-T31)</f>
        <v>3.1184743370535637</v>
      </c>
      <c r="Q24">
        <f>'Standardized Coefficients'!I2</f>
        <v>0.71627219194102809</v>
      </c>
    </row>
    <row r="25" spans="1:20" x14ac:dyDescent="0.3">
      <c r="A25">
        <v>1</v>
      </c>
      <c r="B25" s="3">
        <v>8</v>
      </c>
      <c r="C25" s="3">
        <v>635</v>
      </c>
      <c r="D25" s="3">
        <v>19.829999999999998</v>
      </c>
      <c r="I25" s="3" t="s">
        <v>1</v>
      </c>
      <c r="J25" s="29">
        <f t="shared" si="0"/>
        <v>1.4384826255548039E-2</v>
      </c>
      <c r="K25" s="29">
        <f>SQRT('ANOVA Calculations'!D34*'Predictor Table Calculations'!L12)</f>
        <v>3.6130858743041922E-3</v>
      </c>
      <c r="L25" s="29">
        <f t="shared" si="1"/>
        <v>3.981313136743053</v>
      </c>
      <c r="M25" s="29">
        <f>_xlfn.T.DIST.2T(ABS(L25), 'ANOVA Calculations'!C34)</f>
        <v>6.3124686224287749E-4</v>
      </c>
      <c r="N25" s="29">
        <f t="shared" si="2"/>
        <v>6.8917447688041046E-3</v>
      </c>
      <c r="O25" s="29">
        <f t="shared" si="3"/>
        <v>2.1877907742291973E-2</v>
      </c>
      <c r="P25" s="29">
        <f>1/(1-T31)</f>
        <v>3.1184743370535637</v>
      </c>
      <c r="Q25">
        <f>'Standardized Coefficients'!M2</f>
        <v>0.30130778980148315</v>
      </c>
    </row>
    <row r="26" spans="1:20" x14ac:dyDescent="0.3">
      <c r="A26">
        <v>1</v>
      </c>
      <c r="B26" s="3">
        <v>4</v>
      </c>
      <c r="C26" s="3">
        <v>150</v>
      </c>
      <c r="D26" s="3">
        <v>10.75</v>
      </c>
      <c r="S26" s="35"/>
    </row>
    <row r="30" spans="1:20" x14ac:dyDescent="0.3">
      <c r="S30" t="s">
        <v>107</v>
      </c>
    </row>
    <row r="31" spans="1:20" x14ac:dyDescent="0.3">
      <c r="I31" s="38"/>
      <c r="J31" s="38"/>
      <c r="K31" s="38"/>
      <c r="L31" s="38"/>
      <c r="M31" s="38"/>
      <c r="N31" s="38"/>
      <c r="O31" s="38"/>
      <c r="P31" s="38"/>
      <c r="Q31" s="38"/>
      <c r="S31" t="s">
        <v>106</v>
      </c>
      <c r="T31" s="36">
        <v>0.67933037379270766</v>
      </c>
    </row>
    <row r="32" spans="1:20" x14ac:dyDescent="0.3">
      <c r="I32" s="39"/>
      <c r="J32" s="39"/>
      <c r="K32" s="39"/>
      <c r="L32" s="39"/>
      <c r="M32" s="39"/>
      <c r="N32" s="39"/>
      <c r="O32" s="39"/>
      <c r="P32" s="39"/>
      <c r="Q32" s="39"/>
    </row>
    <row r="33" spans="9:19" x14ac:dyDescent="0.3">
      <c r="I33" s="40"/>
      <c r="J33" s="40"/>
      <c r="K33" s="40"/>
      <c r="L33" s="40"/>
      <c r="M33" s="40"/>
      <c r="N33" s="40"/>
      <c r="O33" s="40"/>
      <c r="P33" s="40"/>
      <c r="Q33" s="40"/>
    </row>
    <row r="34" spans="9:19" x14ac:dyDescent="0.3">
      <c r="I34" s="41"/>
      <c r="J34" s="42"/>
      <c r="K34" s="42"/>
      <c r="L34" s="42"/>
      <c r="M34" s="43"/>
      <c r="N34" s="44"/>
      <c r="O34" s="42"/>
      <c r="P34" s="42"/>
      <c r="Q34" s="42"/>
      <c r="S34" t="s">
        <v>114</v>
      </c>
    </row>
    <row r="35" spans="9:19" x14ac:dyDescent="0.3">
      <c r="I35" s="41"/>
      <c r="J35" s="42"/>
      <c r="K35" s="42"/>
      <c r="L35" s="42"/>
      <c r="M35" s="43"/>
      <c r="N35" s="42"/>
      <c r="O35" s="42"/>
      <c r="P35" s="42"/>
      <c r="Q35" s="42"/>
    </row>
    <row r="36" spans="9:19" x14ac:dyDescent="0.3">
      <c r="I36" s="41"/>
      <c r="J36" s="44"/>
      <c r="K36" s="45"/>
      <c r="L36" s="42"/>
      <c r="M36" s="43"/>
      <c r="N36" s="45"/>
      <c r="O36" s="44"/>
      <c r="P36" s="42"/>
      <c r="Q36" s="42"/>
    </row>
  </sheetData>
  <mergeCells count="2">
    <mergeCell ref="K18:K20"/>
    <mergeCell ref="I32:Q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C504-F4E5-495F-9077-ABD9C97567C9}">
  <sheetPr codeName="Sheet13"/>
  <dimension ref="A1:M27"/>
  <sheetViews>
    <sheetView workbookViewId="0"/>
  </sheetViews>
  <sheetFormatPr defaultRowHeight="14.4" x14ac:dyDescent="0.3"/>
  <cols>
    <col min="8" max="8" width="16.88671875" customWidth="1"/>
    <col min="12" max="12" width="15.21875" customWidth="1"/>
  </cols>
  <sheetData>
    <row r="1" spans="1:13" s="12" customFormat="1" ht="43.2" x14ac:dyDescent="0.3">
      <c r="A1" s="12" t="s">
        <v>71</v>
      </c>
      <c r="B1" s="12" t="s">
        <v>72</v>
      </c>
      <c r="E1" s="12" t="s">
        <v>110</v>
      </c>
      <c r="G1" s="12" t="s">
        <v>69</v>
      </c>
      <c r="K1" s="12" t="s">
        <v>70</v>
      </c>
    </row>
    <row r="2" spans="1:13" x14ac:dyDescent="0.3">
      <c r="A2" s="3">
        <v>7</v>
      </c>
      <c r="B2" s="3">
        <v>560</v>
      </c>
      <c r="D2" t="s">
        <v>108</v>
      </c>
      <c r="E2">
        <f>AVERAGE(A2:A26)</f>
        <v>8.76</v>
      </c>
      <c r="G2">
        <f>(A2-$E$2)^2</f>
        <v>3.0975999999999995</v>
      </c>
      <c r="H2" s="37" t="s">
        <v>112</v>
      </c>
      <c r="I2" s="37">
        <f>E5/(SQRT(E8/G27))</f>
        <v>0.71627219194102809</v>
      </c>
      <c r="K2">
        <f>(B2-$E$3)^2</f>
        <v>22716.518400000008</v>
      </c>
      <c r="L2" s="37" t="s">
        <v>113</v>
      </c>
      <c r="M2" s="37">
        <f>E6/(SQRT(E8/K27))</f>
        <v>0.30130778980148315</v>
      </c>
    </row>
    <row r="3" spans="1:13" x14ac:dyDescent="0.3">
      <c r="A3" s="3">
        <v>3</v>
      </c>
      <c r="B3" s="3">
        <v>220</v>
      </c>
      <c r="D3" t="s">
        <v>109</v>
      </c>
      <c r="E3">
        <f>AVERAGE(B2:B26)</f>
        <v>409.28</v>
      </c>
      <c r="G3">
        <f t="shared" ref="G3:G26" si="0">(A3-$E$2)^2</f>
        <v>33.177599999999998</v>
      </c>
      <c r="K3">
        <f t="shared" ref="K3:K26" si="1">(B3-$E$3)^2</f>
        <v>35826.918399999988</v>
      </c>
    </row>
    <row r="4" spans="1:13" x14ac:dyDescent="0.3">
      <c r="A4" s="3">
        <v>3</v>
      </c>
      <c r="B4" s="3">
        <v>340</v>
      </c>
      <c r="G4">
        <f t="shared" si="0"/>
        <v>33.177599999999998</v>
      </c>
      <c r="K4">
        <f t="shared" si="1"/>
        <v>4799.7183999999961</v>
      </c>
    </row>
    <row r="5" spans="1:13" x14ac:dyDescent="0.3">
      <c r="A5" s="3">
        <v>4</v>
      </c>
      <c r="B5" s="3">
        <v>80</v>
      </c>
      <c r="D5" t="s">
        <v>80</v>
      </c>
      <c r="E5">
        <v>1.6159072106092487</v>
      </c>
      <c r="G5">
        <f t="shared" si="0"/>
        <v>22.657599999999999</v>
      </c>
      <c r="K5">
        <f t="shared" si="1"/>
        <v>108425.31839999999</v>
      </c>
    </row>
    <row r="6" spans="1:13" x14ac:dyDescent="0.3">
      <c r="A6" s="3">
        <v>6</v>
      </c>
      <c r="B6" s="3">
        <v>150</v>
      </c>
      <c r="D6" t="s">
        <v>81</v>
      </c>
      <c r="E6">
        <v>1.4384826255548039E-2</v>
      </c>
      <c r="G6">
        <f t="shared" si="0"/>
        <v>7.6175999999999986</v>
      </c>
      <c r="K6">
        <f t="shared" si="1"/>
        <v>67226.118399999992</v>
      </c>
    </row>
    <row r="7" spans="1:13" x14ac:dyDescent="0.3">
      <c r="A7" s="3">
        <v>7</v>
      </c>
      <c r="B7" s="3">
        <v>330</v>
      </c>
      <c r="G7">
        <f t="shared" si="0"/>
        <v>3.0975999999999995</v>
      </c>
      <c r="K7">
        <f t="shared" si="1"/>
        <v>6285.3183999999956</v>
      </c>
    </row>
    <row r="8" spans="1:13" x14ac:dyDescent="0.3">
      <c r="A8" s="3">
        <v>2</v>
      </c>
      <c r="B8" s="3">
        <v>110</v>
      </c>
      <c r="D8" t="s">
        <v>111</v>
      </c>
      <c r="E8" s="4">
        <v>5784.5425999999989</v>
      </c>
      <c r="G8">
        <f t="shared" si="0"/>
        <v>45.697599999999994</v>
      </c>
      <c r="K8">
        <f t="shared" si="1"/>
        <v>89568.518399999986</v>
      </c>
    </row>
    <row r="9" spans="1:13" x14ac:dyDescent="0.3">
      <c r="A9" s="3">
        <v>7</v>
      </c>
      <c r="B9" s="3">
        <v>210</v>
      </c>
      <c r="G9">
        <f t="shared" si="0"/>
        <v>3.0975999999999995</v>
      </c>
      <c r="K9">
        <f t="shared" si="1"/>
        <v>39712.518399999986</v>
      </c>
    </row>
    <row r="10" spans="1:13" x14ac:dyDescent="0.3">
      <c r="A10" s="3">
        <v>30</v>
      </c>
      <c r="B10" s="3">
        <v>1460</v>
      </c>
      <c r="G10">
        <f t="shared" si="0"/>
        <v>451.13760000000008</v>
      </c>
      <c r="K10">
        <f t="shared" si="1"/>
        <v>1104012.5183999999</v>
      </c>
    </row>
    <row r="11" spans="1:13" x14ac:dyDescent="0.3">
      <c r="A11" s="3">
        <v>5</v>
      </c>
      <c r="B11" s="3">
        <v>605</v>
      </c>
      <c r="G11">
        <f t="shared" si="0"/>
        <v>14.137599999999999</v>
      </c>
      <c r="K11">
        <f t="shared" si="1"/>
        <v>38306.318400000011</v>
      </c>
    </row>
    <row r="12" spans="1:13" x14ac:dyDescent="0.3">
      <c r="A12" s="3">
        <v>16</v>
      </c>
      <c r="B12" s="3">
        <v>688</v>
      </c>
      <c r="G12">
        <f t="shared" si="0"/>
        <v>52.4176</v>
      </c>
      <c r="K12">
        <f t="shared" si="1"/>
        <v>77684.838400000022</v>
      </c>
    </row>
    <row r="13" spans="1:13" x14ac:dyDescent="0.3">
      <c r="A13" s="3">
        <v>10</v>
      </c>
      <c r="B13" s="3">
        <v>215</v>
      </c>
      <c r="G13">
        <f t="shared" si="0"/>
        <v>1.5376000000000005</v>
      </c>
      <c r="K13">
        <f t="shared" si="1"/>
        <v>37744.718399999991</v>
      </c>
    </row>
    <row r="14" spans="1:13" x14ac:dyDescent="0.3">
      <c r="A14" s="3">
        <v>4</v>
      </c>
      <c r="B14" s="3">
        <v>255</v>
      </c>
      <c r="G14">
        <f t="shared" si="0"/>
        <v>22.657599999999999</v>
      </c>
      <c r="K14">
        <f t="shared" si="1"/>
        <v>23802.318399999993</v>
      </c>
    </row>
    <row r="15" spans="1:13" x14ac:dyDescent="0.3">
      <c r="A15" s="3">
        <v>6</v>
      </c>
      <c r="B15" s="3">
        <v>462</v>
      </c>
      <c r="G15">
        <f t="shared" si="0"/>
        <v>7.6175999999999986</v>
      </c>
      <c r="K15">
        <f t="shared" si="1"/>
        <v>2779.3984000000028</v>
      </c>
    </row>
    <row r="16" spans="1:13" x14ac:dyDescent="0.3">
      <c r="A16" s="3">
        <v>9</v>
      </c>
      <c r="B16" s="3">
        <v>448</v>
      </c>
      <c r="G16">
        <f t="shared" si="0"/>
        <v>5.7600000000000103E-2</v>
      </c>
      <c r="K16">
        <f t="shared" si="1"/>
        <v>1499.238400000002</v>
      </c>
    </row>
    <row r="17" spans="1:11" x14ac:dyDescent="0.3">
      <c r="A17" s="3">
        <v>10</v>
      </c>
      <c r="B17" s="3">
        <v>776</v>
      </c>
      <c r="G17">
        <f t="shared" si="0"/>
        <v>1.5376000000000005</v>
      </c>
      <c r="K17">
        <f t="shared" si="1"/>
        <v>134483.55840000001</v>
      </c>
    </row>
    <row r="18" spans="1:11" x14ac:dyDescent="0.3">
      <c r="A18" s="3">
        <v>6</v>
      </c>
      <c r="B18" s="3">
        <v>200</v>
      </c>
      <c r="G18">
        <f t="shared" si="0"/>
        <v>7.6175999999999986</v>
      </c>
      <c r="K18">
        <f t="shared" si="1"/>
        <v>43798.118399999992</v>
      </c>
    </row>
    <row r="19" spans="1:11" x14ac:dyDescent="0.3">
      <c r="A19" s="3">
        <v>7</v>
      </c>
      <c r="B19" s="3">
        <v>132</v>
      </c>
      <c r="G19">
        <f t="shared" si="0"/>
        <v>3.0975999999999995</v>
      </c>
      <c r="K19">
        <f t="shared" si="1"/>
        <v>76884.198399999979</v>
      </c>
    </row>
    <row r="20" spans="1:11" x14ac:dyDescent="0.3">
      <c r="A20" s="3">
        <v>3</v>
      </c>
      <c r="B20" s="3">
        <v>36</v>
      </c>
      <c r="G20">
        <f t="shared" si="0"/>
        <v>33.177599999999998</v>
      </c>
      <c r="K20">
        <f t="shared" si="1"/>
        <v>139337.95839999997</v>
      </c>
    </row>
    <row r="21" spans="1:11" x14ac:dyDescent="0.3">
      <c r="A21" s="3">
        <v>17</v>
      </c>
      <c r="B21" s="3">
        <v>770</v>
      </c>
      <c r="G21">
        <f t="shared" si="0"/>
        <v>67.897599999999997</v>
      </c>
      <c r="K21">
        <f t="shared" si="1"/>
        <v>130118.91840000002</v>
      </c>
    </row>
    <row r="22" spans="1:11" x14ac:dyDescent="0.3">
      <c r="A22" s="3">
        <v>10</v>
      </c>
      <c r="B22" s="3">
        <v>140</v>
      </c>
      <c r="G22">
        <f t="shared" si="0"/>
        <v>1.5376000000000005</v>
      </c>
      <c r="K22">
        <f t="shared" si="1"/>
        <v>72511.718399999983</v>
      </c>
    </row>
    <row r="23" spans="1:11" x14ac:dyDescent="0.3">
      <c r="A23" s="3">
        <v>26</v>
      </c>
      <c r="B23" s="3">
        <v>810</v>
      </c>
      <c r="G23">
        <f t="shared" si="0"/>
        <v>297.21760000000006</v>
      </c>
      <c r="K23">
        <f t="shared" si="1"/>
        <v>160576.51840000003</v>
      </c>
    </row>
    <row r="24" spans="1:11" x14ac:dyDescent="0.3">
      <c r="A24" s="3">
        <v>9</v>
      </c>
      <c r="B24" s="3">
        <v>450</v>
      </c>
      <c r="G24">
        <f t="shared" si="0"/>
        <v>5.7600000000000103E-2</v>
      </c>
      <c r="K24">
        <f t="shared" si="1"/>
        <v>1658.1184000000021</v>
      </c>
    </row>
    <row r="25" spans="1:11" x14ac:dyDescent="0.3">
      <c r="A25" s="3">
        <v>8</v>
      </c>
      <c r="B25" s="3">
        <v>635</v>
      </c>
      <c r="G25">
        <f t="shared" si="0"/>
        <v>0.57759999999999967</v>
      </c>
      <c r="K25">
        <f t="shared" si="1"/>
        <v>50949.518400000015</v>
      </c>
    </row>
    <row r="26" spans="1:11" x14ac:dyDescent="0.3">
      <c r="A26" s="3">
        <v>4</v>
      </c>
      <c r="B26" s="3">
        <v>150</v>
      </c>
      <c r="G26">
        <f t="shared" si="0"/>
        <v>22.657599999999999</v>
      </c>
      <c r="K26">
        <f t="shared" si="1"/>
        <v>67226.118399999992</v>
      </c>
    </row>
    <row r="27" spans="1:11" x14ac:dyDescent="0.3">
      <c r="F27" s="26" t="s">
        <v>19</v>
      </c>
      <c r="G27" s="26">
        <f>SUM(G2:G26)</f>
        <v>1136.5600000000004</v>
      </c>
      <c r="J27" s="26" t="s">
        <v>19</v>
      </c>
      <c r="K27" s="26">
        <f>SUM(K2:K26)</f>
        <v>2537935.0399999996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16C6-2EF8-425F-90FA-94FEED740C65}">
  <sheetPr codeName="Sheet14"/>
  <dimension ref="A1:N28"/>
  <sheetViews>
    <sheetView workbookViewId="0"/>
  </sheetViews>
  <sheetFormatPr defaultRowHeight="14.4" x14ac:dyDescent="0.3"/>
  <cols>
    <col min="1" max="1" width="21.21875" customWidth="1"/>
    <col min="4" max="4" width="13.33203125" customWidth="1"/>
  </cols>
  <sheetData>
    <row r="1" spans="1:14" x14ac:dyDescent="0.3">
      <c r="K1" t="s">
        <v>128</v>
      </c>
      <c r="L1" t="s">
        <v>129</v>
      </c>
      <c r="M1" t="s">
        <v>127</v>
      </c>
      <c r="N1" t="s">
        <v>130</v>
      </c>
    </row>
    <row r="2" spans="1:14" x14ac:dyDescent="0.3">
      <c r="A2" t="s">
        <v>115</v>
      </c>
      <c r="B2" s="46">
        <f>'ANOVA Calculations'!B33/'ANOVA Calculations'!B35</f>
        <v>0.95959374948322018</v>
      </c>
      <c r="K2">
        <v>1</v>
      </c>
      <c r="L2">
        <f>'ANOVA Calculations'!M2-'ANOVA Calculations'!C2</f>
        <v>5.0280843225638492</v>
      </c>
      <c r="N2">
        <f>L2^2</f>
        <v>25.281631954812362</v>
      </c>
    </row>
    <row r="3" spans="1:14" x14ac:dyDescent="0.3">
      <c r="K3">
        <v>2</v>
      </c>
      <c r="L3">
        <f>'ANOVA Calculations'!M3-'ANOVA Calculations'!C3</f>
        <v>-1.1463854467594832</v>
      </c>
      <c r="M3">
        <f>(L3-L2)^2</f>
        <v>38.124076932287728</v>
      </c>
      <c r="N3">
        <f t="shared" ref="N3:N26" si="0">L3^2</f>
        <v>1.3141995925419399</v>
      </c>
    </row>
    <row r="4" spans="1:14" x14ac:dyDescent="0.3">
      <c r="K4">
        <v>3</v>
      </c>
      <c r="L4">
        <f>'ANOVA Calculations'!M4-'ANOVA Calculations'!C4</f>
        <v>4.9793703906283682E-2</v>
      </c>
      <c r="M4">
        <f t="shared" ref="M4:M26" si="1">(L4-L3)^2</f>
        <v>1.4308445604874753</v>
      </c>
      <c r="N4">
        <f t="shared" si="0"/>
        <v>2.4794129487066508E-3</v>
      </c>
    </row>
    <row r="5" spans="1:14" x14ac:dyDescent="0.3">
      <c r="A5" t="s">
        <v>116</v>
      </c>
      <c r="B5" s="46">
        <f>1-E9/E10</f>
        <v>0.95592045398170078</v>
      </c>
      <c r="K5">
        <v>4</v>
      </c>
      <c r="L5">
        <f>'ANOVA Calculations'!M5-'ANOVA Calculations'!C5</f>
        <v>-4.9243539119269606</v>
      </c>
      <c r="M5">
        <f t="shared" si="1"/>
        <v>24.742144504099549</v>
      </c>
      <c r="N5">
        <f t="shared" si="0"/>
        <v>24.24926144991036</v>
      </c>
    </row>
    <row r="6" spans="1:14" x14ac:dyDescent="0.3">
      <c r="G6" t="s">
        <v>117</v>
      </c>
      <c r="H6">
        <v>25</v>
      </c>
      <c r="K6">
        <v>5</v>
      </c>
      <c r="L6">
        <f>'ANOVA Calculations'!M6-'ANOVA Calculations'!C6</f>
        <v>0.44439834717990223</v>
      </c>
      <c r="M6">
        <f t="shared" si="1"/>
        <v>28.823500819665043</v>
      </c>
      <c r="N6">
        <f t="shared" si="0"/>
        <v>0.1974898909762289</v>
      </c>
    </row>
    <row r="7" spans="1:14" x14ac:dyDescent="0.3">
      <c r="G7" t="s">
        <v>118</v>
      </c>
      <c r="H7">
        <v>3</v>
      </c>
      <c r="I7" t="s">
        <v>119</v>
      </c>
      <c r="K7">
        <v>6</v>
      </c>
      <c r="L7">
        <f>'ANOVA Calculations'!M7-'ANOVA Calculations'!C7</f>
        <v>0.28957428378780037</v>
      </c>
      <c r="M7">
        <f t="shared" si="1"/>
        <v>2.3970490605241576E-2</v>
      </c>
      <c r="N7">
        <f t="shared" si="0"/>
        <v>8.3853265831217549E-2</v>
      </c>
    </row>
    <row r="8" spans="1:14" x14ac:dyDescent="0.3">
      <c r="K8">
        <v>7</v>
      </c>
      <c r="L8">
        <f>'ANOVA Calculations'!M8-'ANOVA Calculations'!C8</f>
        <v>-0.84462354547901874</v>
      </c>
      <c r="M8">
        <f t="shared" si="1"/>
        <v>1.2864047159135645</v>
      </c>
      <c r="N8">
        <f t="shared" si="0"/>
        <v>0.71338893357754807</v>
      </c>
    </row>
    <row r="9" spans="1:14" x14ac:dyDescent="0.3">
      <c r="D9" t="s">
        <v>120</v>
      </c>
      <c r="E9">
        <f>'ANOVA Calculations'!B34/('Regression Stat Calculations'!H6-'Regression Stat Calculations'!H7)</f>
        <v>10.624167155479672</v>
      </c>
      <c r="K9">
        <v>8</v>
      </c>
      <c r="L9">
        <f>'ANOVA Calculations'!M9-'ANOVA Calculations'!C9</f>
        <v>-1.1566048668779629</v>
      </c>
      <c r="M9">
        <f t="shared" si="1"/>
        <v>9.7332344901831305E-2</v>
      </c>
      <c r="N9">
        <f t="shared" si="0"/>
        <v>1.3377348180857904</v>
      </c>
    </row>
    <row r="10" spans="1:14" x14ac:dyDescent="0.3">
      <c r="D10" t="s">
        <v>121</v>
      </c>
      <c r="E10">
        <f>'ANOVA Calculations'!B35/('Regression Stat Calculations'!H6-1)</f>
        <v>241.0226083333333</v>
      </c>
      <c r="K10">
        <v>9</v>
      </c>
      <c r="L10">
        <f>'ANOVA Calculations'!M10-'ANOVA Calculations'!C10</f>
        <v>-7.4197062034301524</v>
      </c>
      <c r="M10">
        <f t="shared" si="1"/>
        <v>39.226438351921821</v>
      </c>
      <c r="N10">
        <f t="shared" si="0"/>
        <v>55.052040145219884</v>
      </c>
    </row>
    <row r="11" spans="1:14" x14ac:dyDescent="0.3">
      <c r="K11">
        <v>10</v>
      </c>
      <c r="L11">
        <f>'ANOVA Calculations'!M11-'ANOVA Calculations'!C11</f>
        <v>-2.3764129171549868</v>
      </c>
      <c r="M11">
        <f t="shared" si="1"/>
        <v>25.434807171388158</v>
      </c>
      <c r="N11">
        <f t="shared" si="0"/>
        <v>5.6473383528210741</v>
      </c>
    </row>
    <row r="12" spans="1:14" x14ac:dyDescent="0.3">
      <c r="A12" t="s">
        <v>33</v>
      </c>
      <c r="B12">
        <f>AVERAGE('ANOVA Calculations'!C2:C26)</f>
        <v>22.384</v>
      </c>
      <c r="D12" t="s">
        <v>124</v>
      </c>
      <c r="K12">
        <v>11</v>
      </c>
      <c r="L12">
        <f>'ANOVA Calculations'!M12-'ANOVA Calculations'!C12</f>
        <v>-2.2374930212427486</v>
      </c>
      <c r="M12">
        <f t="shared" si="1"/>
        <v>1.9298737480267093E-2</v>
      </c>
      <c r="N12">
        <f t="shared" si="0"/>
        <v>5.0063750201100028</v>
      </c>
    </row>
    <row r="13" spans="1:14" x14ac:dyDescent="0.3">
      <c r="K13">
        <v>12</v>
      </c>
      <c r="L13">
        <f>'ANOVA Calculations'!M13-'ANOVA Calculations'!C13</f>
        <v>0.59304089622752798</v>
      </c>
      <c r="M13">
        <f t="shared" si="1"/>
        <v>8.0119222579496299</v>
      </c>
      <c r="N13">
        <f t="shared" si="0"/>
        <v>0.35169750459834959</v>
      </c>
    </row>
    <row r="14" spans="1:14" x14ac:dyDescent="0.3">
      <c r="A14" t="s">
        <v>22</v>
      </c>
      <c r="B14" s="29">
        <f>SQRT('ANOVA Calculations'!D34)</f>
        <v>3.2594734475800951</v>
      </c>
      <c r="D14" t="s">
        <v>123</v>
      </c>
      <c r="K14">
        <v>13</v>
      </c>
      <c r="L14">
        <f>'ANOVA Calculations'!M14-'ANOVA Calculations'!C14</f>
        <v>-1.0270093172060513</v>
      </c>
      <c r="M14">
        <f t="shared" si="1"/>
        <v>2.6245626940461855</v>
      </c>
      <c r="N14">
        <f t="shared" si="0"/>
        <v>1.0547481376280397</v>
      </c>
    </row>
    <row r="15" spans="1:14" x14ac:dyDescent="0.3">
      <c r="K15">
        <v>14</v>
      </c>
      <c r="L15">
        <f>'ANOVA Calculations'!M15-'ANOVA Calculations'!C15</f>
        <v>-1.0675358610891053</v>
      </c>
      <c r="M15">
        <f t="shared" si="1"/>
        <v>1.6424007591051006E-3</v>
      </c>
      <c r="N15">
        <f t="shared" si="0"/>
        <v>1.1396328147112573</v>
      </c>
    </row>
    <row r="16" spans="1:14" x14ac:dyDescent="0.3">
      <c r="A16" t="s">
        <v>122</v>
      </c>
      <c r="B16">
        <f>100*B14/B12</f>
        <v>14.561621906630158</v>
      </c>
      <c r="D16" t="s">
        <v>125</v>
      </c>
      <c r="K16">
        <v>15</v>
      </c>
      <c r="L16">
        <f>'ANOVA Calculations'!M16-'ANOVA Calculations'!C16</f>
        <v>-0.67120179683902848</v>
      </c>
      <c r="M16">
        <f t="shared" si="1"/>
        <v>0.15708069048498399</v>
      </c>
      <c r="N16">
        <f t="shared" si="0"/>
        <v>0.45051185207994043</v>
      </c>
    </row>
    <row r="17" spans="1:14" x14ac:dyDescent="0.3">
      <c r="K17">
        <v>16</v>
      </c>
      <c r="L17">
        <f>'ANOVA Calculations'!M17-'ANOVA Calculations'!C17</f>
        <v>0.66292842558998188</v>
      </c>
      <c r="M17">
        <f t="shared" si="1"/>
        <v>1.7799034503984807</v>
      </c>
      <c r="N17">
        <f t="shared" si="0"/>
        <v>0.43947409745521215</v>
      </c>
    </row>
    <row r="18" spans="1:14" x14ac:dyDescent="0.3">
      <c r="A18" t="s">
        <v>34</v>
      </c>
      <c r="B18">
        <v>25</v>
      </c>
      <c r="D18" t="s">
        <v>126</v>
      </c>
      <c r="K18">
        <v>17</v>
      </c>
      <c r="L18">
        <f>'ANOVA Calculations'!M18-'ANOVA Calculations'!C18</f>
        <v>-0.43636034004269497</v>
      </c>
      <c r="M18">
        <f t="shared" si="1"/>
        <v>1.2084357902462144</v>
      </c>
      <c r="N18">
        <f t="shared" si="0"/>
        <v>0.19041034636217638</v>
      </c>
    </row>
    <row r="19" spans="1:14" x14ac:dyDescent="0.3">
      <c r="K19">
        <v>18</v>
      </c>
      <c r="L19">
        <f>'ANOVA Calculations'!M19-'ANOVA Calculations'!C19</f>
        <v>-3.4486213148107119</v>
      </c>
      <c r="M19">
        <f t="shared" si="1"/>
        <v>9.0737161801103632</v>
      </c>
      <c r="N19">
        <f t="shared" si="0"/>
        <v>11.892988972966764</v>
      </c>
    </row>
    <row r="20" spans="1:14" x14ac:dyDescent="0.3">
      <c r="A20" t="s">
        <v>35</v>
      </c>
      <c r="B20" s="29">
        <f>M27/N27</f>
        <v>1.1695672466185523</v>
      </c>
      <c r="K20">
        <v>19</v>
      </c>
      <c r="L20">
        <f>'ANOVA Calculations'!M20-'ANOVA Calculations'!C20</f>
        <v>-1.7931934777803242</v>
      </c>
      <c r="M20">
        <f t="shared" si="1"/>
        <v>2.7404413236151077</v>
      </c>
      <c r="N20">
        <f t="shared" si="0"/>
        <v>3.215542848753894</v>
      </c>
    </row>
    <row r="21" spans="1:14" x14ac:dyDescent="0.3">
      <c r="K21">
        <v>20</v>
      </c>
      <c r="L21">
        <f>'ANOVA Calculations'!M21-'ANOVA Calculations'!C21</f>
        <v>5.787969942321439</v>
      </c>
      <c r="M21">
        <f t="shared" si="1"/>
        <v>57.474038802289066</v>
      </c>
      <c r="N21">
        <f t="shared" si="0"/>
        <v>33.500596053216441</v>
      </c>
    </row>
    <row r="22" spans="1:14" x14ac:dyDescent="0.3">
      <c r="K22">
        <v>21</v>
      </c>
      <c r="L22">
        <f>'ANOVA Calculations'!M22-'ANOVA Calculations'!C22</f>
        <v>2.6141789270614275</v>
      </c>
      <c r="M22">
        <f t="shared" si="1"/>
        <v>10.072949408545174</v>
      </c>
      <c r="N22">
        <f t="shared" si="0"/>
        <v>6.8339314626920364</v>
      </c>
    </row>
    <row r="23" spans="1:14" x14ac:dyDescent="0.3">
      <c r="K23">
        <v>22</v>
      </c>
      <c r="L23">
        <f>'ANOVA Calculations'!M23-'ANOVA Calculations'!C23</f>
        <v>3.6865278880266104</v>
      </c>
      <c r="M23">
        <f t="shared" si="1"/>
        <v>1.1499322940831072</v>
      </c>
      <c r="N23">
        <f t="shared" si="0"/>
        <v>13.59048786919794</v>
      </c>
    </row>
    <row r="24" spans="1:14" x14ac:dyDescent="0.3">
      <c r="A24" t="s">
        <v>36</v>
      </c>
      <c r="B24">
        <f>'H Matrix'!AL28</f>
        <v>459.03931470254616</v>
      </c>
      <c r="K24">
        <v>23</v>
      </c>
      <c r="L24">
        <f>'ANOVA Calculations'!M24-'ANOVA Calculations'!C24</f>
        <v>4.6075678556720661</v>
      </c>
      <c r="M24">
        <f t="shared" si="1"/>
        <v>0.84831462200034213</v>
      </c>
      <c r="N24">
        <f t="shared" si="0"/>
        <v>21.22968154462248</v>
      </c>
    </row>
    <row r="25" spans="1:14" x14ac:dyDescent="0.3">
      <c r="K25">
        <v>24</v>
      </c>
      <c r="L25">
        <f>'ANOVA Calculations'!M25-'ANOVA Calculations'!C25</f>
        <v>4.572853502339207</v>
      </c>
      <c r="M25">
        <f t="shared" si="1"/>
        <v>1.205086327318586E-3</v>
      </c>
      <c r="N25">
        <f t="shared" si="0"/>
        <v>20.910989153855951</v>
      </c>
    </row>
    <row r="26" spans="1:14" x14ac:dyDescent="0.3">
      <c r="K26">
        <v>25</v>
      </c>
      <c r="L26">
        <f>'ANOVA Calculations'!M26-'ANOVA Calculations'!C26</f>
        <v>0.21258392596140396</v>
      </c>
      <c r="M26">
        <f t="shared" si="1"/>
        <v>19.011950778685865</v>
      </c>
      <c r="N26">
        <f t="shared" si="0"/>
        <v>4.5191925577163679E-2</v>
      </c>
    </row>
    <row r="27" spans="1:14" x14ac:dyDescent="0.3">
      <c r="K27" s="26" t="s">
        <v>19</v>
      </c>
      <c r="L27" s="26"/>
      <c r="M27" s="26">
        <f>SUM(M3:M26)</f>
        <v>273.36491440829155</v>
      </c>
      <c r="N27" s="26">
        <f>SUM(N2:N26)</f>
        <v>233.73167742055278</v>
      </c>
    </row>
    <row r="28" spans="1:14" x14ac:dyDescent="0.3">
      <c r="A28" t="s">
        <v>136</v>
      </c>
      <c r="B28" s="46">
        <f>1-(B24/'ANOVA Calculations'!B35)</f>
        <v>0.92064380082488351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9C70-F63A-44FF-B748-5DD1E215A15A}">
  <sheetPr codeName="Sheet15"/>
  <dimension ref="A1:AL28"/>
  <sheetViews>
    <sheetView workbookViewId="0"/>
  </sheetViews>
  <sheetFormatPr defaultRowHeight="14.4" x14ac:dyDescent="0.3"/>
  <sheetData>
    <row r="1" spans="1:38" ht="16.2" x14ac:dyDescent="0.3">
      <c r="A1" s="47" t="s">
        <v>131</v>
      </c>
      <c r="H1" t="s">
        <v>132</v>
      </c>
    </row>
    <row r="2" spans="1:38" x14ac:dyDescent="0.3">
      <c r="AI2" t="s">
        <v>134</v>
      </c>
      <c r="AJ2" t="s">
        <v>133</v>
      </c>
      <c r="AK2" t="s">
        <v>129</v>
      </c>
      <c r="AL2" t="s">
        <v>135</v>
      </c>
    </row>
    <row r="3" spans="1:38" x14ac:dyDescent="0.3">
      <c r="C3" cm="1">
        <f t="array" ref="C3:E27">MMULT(XVector,_xlfn.ANCHORARRAY('Predictor Table Calculations'!J10))</f>
        <v>3.521839437283053E-2</v>
      </c>
      <c r="D3">
        <v>-1.2042078680166948E-2</v>
      </c>
      <c r="E3">
        <v>2.6942487994876841E-4</v>
      </c>
      <c r="H3" cm="1">
        <f t="array" ref="H3:AF27">MMULT(_xlfn.ANCHORARRAY(C3),_xlfn.ANCHORARRAY( 'Predictor Table Calculations'!J2))</f>
        <v>0.10180177638297221</v>
      </c>
      <c r="I3">
        <v>5.8365631921058737E-2</v>
      </c>
      <c r="J3">
        <v>9.069661751491094E-2</v>
      </c>
      <c r="K3">
        <v>8.6040700480642107E-3</v>
      </c>
      <c r="L3">
        <v>3.3796542841440999E-3</v>
      </c>
      <c r="M3">
        <v>3.9834053994755467E-2</v>
      </c>
      <c r="N3">
        <v>4.0770973806861163E-2</v>
      </c>
      <c r="O3">
        <v>7.5030684009032567E-3</v>
      </c>
      <c r="P3">
        <v>6.7316358693023937E-2</v>
      </c>
      <c r="Q3">
        <v>0.13801005334100069</v>
      </c>
      <c r="R3">
        <v>2.7909452894912035E-2</v>
      </c>
      <c r="S3">
        <v>-2.7276043239853748E-2</v>
      </c>
      <c r="T3">
        <v>5.5753424039098678E-2</v>
      </c>
      <c r="U3">
        <v>8.7440216828159847E-2</v>
      </c>
      <c r="V3">
        <v>4.7542032468376239E-2</v>
      </c>
      <c r="W3">
        <v>0.12387131441140534</v>
      </c>
      <c r="X3">
        <v>1.6850898281582524E-2</v>
      </c>
      <c r="Y3">
        <v>-1.3512072235100675E-2</v>
      </c>
      <c r="Z3">
        <v>8.7914540104853476E-3</v>
      </c>
      <c r="AA3">
        <v>3.7960214370544088E-2</v>
      </c>
      <c r="AB3">
        <v>-4.7482909236011374E-2</v>
      </c>
      <c r="AC3">
        <v>-5.9641498553007682E-2</v>
      </c>
      <c r="AD3">
        <v>4.808088222827378E-2</v>
      </c>
      <c r="AE3">
        <v>0.10996656369896288</v>
      </c>
      <c r="AF3">
        <v>2.7463811644477996E-2</v>
      </c>
      <c r="AI3">
        <f>H3</f>
        <v>0.10180177638297221</v>
      </c>
      <c r="AJ3">
        <f>1-AI3</f>
        <v>0.89819822361702784</v>
      </c>
      <c r="AK3">
        <f>'Regression Stat Calculations'!L2</f>
        <v>5.0280843225638492</v>
      </c>
      <c r="AL3">
        <f>(AK3/AJ3)^2</f>
        <v>31.337238363510995</v>
      </c>
    </row>
    <row r="4" spans="1:38" x14ac:dyDescent="0.3">
      <c r="C4">
        <v>8.1461441048704258E-2</v>
      </c>
      <c r="D4">
        <v>-6.7458024088088249E-3</v>
      </c>
      <c r="E4">
        <v>4.3080013810743484E-5</v>
      </c>
      <c r="H4">
        <v>5.8365631921058835E-2</v>
      </c>
      <c r="I4">
        <v>7.0701636860641348E-2</v>
      </c>
      <c r="J4">
        <v>7.5871238517930567E-2</v>
      </c>
      <c r="K4">
        <v>5.7924632518328432E-2</v>
      </c>
      <c r="L4">
        <v>4.7448628667462835E-2</v>
      </c>
      <c r="M4">
        <v>4.8457228744587834E-2</v>
      </c>
      <c r="N4">
        <v>7.2708637750268396E-2</v>
      </c>
      <c r="O4">
        <v>4.3287627087298615E-2</v>
      </c>
      <c r="P4">
        <v>-5.8015811051874991E-2</v>
      </c>
      <c r="Q4">
        <v>7.3795837360159933E-2</v>
      </c>
      <c r="R4">
        <v>3.1676520095545793E-3</v>
      </c>
      <c r="S4">
        <v>2.3265619929925856E-2</v>
      </c>
      <c r="T4">
        <v>6.5463634935208542E-2</v>
      </c>
      <c r="U4">
        <v>6.0889592976414803E-2</v>
      </c>
      <c r="V4">
        <v>4.0049065556637918E-2</v>
      </c>
      <c r="W4">
        <v>4.7433507677752951E-2</v>
      </c>
      <c r="X4">
        <v>4.9602629358000007E-2</v>
      </c>
      <c r="Y4">
        <v>3.9927386010060621E-2</v>
      </c>
      <c r="Z4">
        <v>6.2774914319464553E-2</v>
      </c>
      <c r="AA4">
        <v>-4.5589266773282677E-5</v>
      </c>
      <c r="AB4">
        <v>2.0034618894120095E-2</v>
      </c>
      <c r="AC4">
        <v>-5.9034610393622969E-2</v>
      </c>
      <c r="AD4">
        <v>4.0135225584259401E-2</v>
      </c>
      <c r="AE4">
        <v>5.4850830548055771E-2</v>
      </c>
      <c r="AF4">
        <v>6.0940233485080479E-2</v>
      </c>
      <c r="AI4">
        <f>I4</f>
        <v>7.0701636860641348E-2</v>
      </c>
      <c r="AJ4">
        <f t="shared" ref="AJ4:AJ27" si="0">1-AI4</f>
        <v>0.92929836313935865</v>
      </c>
      <c r="AK4">
        <f>'Regression Stat Calculations'!L3</f>
        <v>-1.1463854467594832</v>
      </c>
      <c r="AL4">
        <f t="shared" ref="AL4:AL27" si="1">(AK4/AJ4)^2</f>
        <v>1.5217768875357789</v>
      </c>
    </row>
    <row r="5" spans="1:38" x14ac:dyDescent="0.3">
      <c r="C5">
        <v>7.1420732671818032E-2</v>
      </c>
      <c r="D5">
        <v>-1.2488652797553304E-2</v>
      </c>
      <c r="E5">
        <v>1.9052938290351086E-4</v>
      </c>
      <c r="H5">
        <v>9.0696617514910982E-2</v>
      </c>
      <c r="I5">
        <v>7.5871238517930512E-2</v>
      </c>
      <c r="J5">
        <v>9.8734764466351821E-2</v>
      </c>
      <c r="K5">
        <v>3.6708472113885685E-2</v>
      </c>
      <c r="L5">
        <v>2.5068223322024838E-2</v>
      </c>
      <c r="M5">
        <v>4.6874859447103484E-2</v>
      </c>
      <c r="N5">
        <v>6.7401659196097613E-2</v>
      </c>
      <c r="O5">
        <v>2.4011333498682189E-2</v>
      </c>
      <c r="P5">
        <v>-2.5065952215655274E-2</v>
      </c>
      <c r="Q5">
        <v>0.12424774534067559</v>
      </c>
      <c r="R5">
        <v>2.6865033485806433E-3</v>
      </c>
      <c r="S5">
        <v>-1.250197797946017E-2</v>
      </c>
      <c r="T5">
        <v>7.0051114122000088E-2</v>
      </c>
      <c r="U5">
        <v>8.4513390787920223E-2</v>
      </c>
      <c r="V5">
        <v>4.4380021034611167E-2</v>
      </c>
      <c r="W5">
        <v>9.4385005829409424E-2</v>
      </c>
      <c r="X5">
        <v>3.4594692467200379E-2</v>
      </c>
      <c r="Y5">
        <v>9.1500416322083389E-3</v>
      </c>
      <c r="Z5">
        <v>4.081383206368451E-2</v>
      </c>
      <c r="AA5">
        <v>5.8212599491152539E-3</v>
      </c>
      <c r="AB5">
        <v>-2.6791681697223488E-2</v>
      </c>
      <c r="AC5">
        <v>-9.8955439912724041E-2</v>
      </c>
      <c r="AD5">
        <v>4.4761079800418185E-2</v>
      </c>
      <c r="AE5">
        <v>9.2497668435121E-2</v>
      </c>
      <c r="AF5">
        <v>5.0045528917131446E-2</v>
      </c>
      <c r="AI5">
        <f>J5</f>
        <v>9.8734764466351821E-2</v>
      </c>
      <c r="AJ5">
        <f t="shared" si="0"/>
        <v>0.90126523553364812</v>
      </c>
      <c r="AK5">
        <f>'Regression Stat Calculations'!L4</f>
        <v>4.9793703906283682E-2</v>
      </c>
      <c r="AL5">
        <f t="shared" si="1"/>
        <v>3.0524153315094351E-3</v>
      </c>
    </row>
    <row r="6" spans="1:38" x14ac:dyDescent="0.3">
      <c r="C6">
        <v>8.8727007586397469E-2</v>
      </c>
      <c r="D6">
        <v>2.6979730022475418E-3</v>
      </c>
      <c r="E6">
        <v>-1.768013367036891E-4</v>
      </c>
      <c r="H6">
        <v>8.6040700480643634E-3</v>
      </c>
      <c r="I6">
        <v>5.7924632518328495E-2</v>
      </c>
      <c r="J6">
        <v>3.6708472113885796E-2</v>
      </c>
      <c r="K6">
        <v>8.5374792659092508E-2</v>
      </c>
      <c r="L6">
        <v>7.8394645094329363E-2</v>
      </c>
      <c r="M6">
        <v>4.9268377489912855E-2</v>
      </c>
      <c r="N6">
        <v>7.4674806553486753E-2</v>
      </c>
      <c r="O6">
        <v>7.0484537894355548E-2</v>
      </c>
      <c r="P6">
        <v>-8.8463753933562372E-2</v>
      </c>
      <c r="Q6">
        <v>-4.7479361080967342E-3</v>
      </c>
      <c r="R6">
        <v>1.025525597022002E-2</v>
      </c>
      <c r="S6">
        <v>7.769445021757973E-2</v>
      </c>
      <c r="T6">
        <v>5.4434558735946915E-2</v>
      </c>
      <c r="U6">
        <v>2.3232628042778355E-2</v>
      </c>
      <c r="V6">
        <v>3.3801765763372627E-2</v>
      </c>
      <c r="W6">
        <v>-2.1491099673189865E-2</v>
      </c>
      <c r="X6">
        <v>6.9554578259144906E-2</v>
      </c>
      <c r="Y6">
        <v>8.4275042157243296E-2</v>
      </c>
      <c r="Z6">
        <v>9.0456078471807283E-2</v>
      </c>
      <c r="AA6">
        <v>-1.5444806372349185E-3</v>
      </c>
      <c r="AB6">
        <v>9.0954550470356416E-2</v>
      </c>
      <c r="AC6">
        <v>1.56652229148454E-2</v>
      </c>
      <c r="AD6">
        <v>3.3448163089965247E-2</v>
      </c>
      <c r="AE6">
        <v>-1.9580572024647802E-3</v>
      </c>
      <c r="AF6">
        <v>7.2998699089834279E-2</v>
      </c>
      <c r="AI6">
        <f>K6</f>
        <v>8.5374792659092508E-2</v>
      </c>
      <c r="AJ6">
        <f t="shared" si="0"/>
        <v>0.91462520734090746</v>
      </c>
      <c r="AK6">
        <f>'Regression Stat Calculations'!L5</f>
        <v>-4.9243539119269606</v>
      </c>
      <c r="AL6">
        <f t="shared" si="1"/>
        <v>28.987594871321008</v>
      </c>
    </row>
    <row r="7" spans="1:38" x14ac:dyDescent="0.3">
      <c r="C7">
        <v>7.3972741229199113E-2</v>
      </c>
      <c r="D7">
        <v>4.8355435238555426E-3</v>
      </c>
      <c r="E7">
        <v>-1.8650337787864949E-4</v>
      </c>
      <c r="H7">
        <v>3.379654284144204E-3</v>
      </c>
      <c r="I7">
        <v>4.7448628667462849E-2</v>
      </c>
      <c r="J7">
        <v>2.5068223322024907E-2</v>
      </c>
      <c r="K7">
        <v>7.8394645094329335E-2</v>
      </c>
      <c r="L7">
        <v>7.5010495690534945E-2</v>
      </c>
      <c r="M7">
        <v>4.6275431196233591E-2</v>
      </c>
      <c r="N7">
        <v>6.3128456710258754E-2</v>
      </c>
      <c r="O7">
        <v>6.8655836541671525E-2</v>
      </c>
      <c r="P7">
        <v>-5.3255884757962862E-2</v>
      </c>
      <c r="Q7">
        <v>-1.4684084768106107E-2</v>
      </c>
      <c r="R7">
        <v>2.3027113630376961E-2</v>
      </c>
      <c r="S7">
        <v>8.2229950223844911E-2</v>
      </c>
      <c r="T7">
        <v>4.5756553965565668E-2</v>
      </c>
      <c r="U7">
        <v>1.6821441792396308E-2</v>
      </c>
      <c r="V7">
        <v>3.3939119654264036E-2</v>
      </c>
      <c r="W7">
        <v>-2.2398444766077469E-2</v>
      </c>
      <c r="X7">
        <v>6.5685326796602467E-2</v>
      </c>
      <c r="Y7">
        <v>8.3203100016206191E-2</v>
      </c>
      <c r="Z7">
        <v>8.1765250197134348E-2</v>
      </c>
      <c r="AA7">
        <v>1.2569380168183208E-2</v>
      </c>
      <c r="AB7">
        <v>9.6217703564743615E-2</v>
      </c>
      <c r="AC7">
        <v>4.8629136767737113E-2</v>
      </c>
      <c r="AD7">
        <v>3.3566112898506736E-2</v>
      </c>
      <c r="AE7">
        <v>-5.7725555328989597E-3</v>
      </c>
      <c r="AF7">
        <v>6.5339408642823865E-2</v>
      </c>
      <c r="AI7">
        <f>L7</f>
        <v>7.5010495690534945E-2</v>
      </c>
      <c r="AJ7">
        <f t="shared" si="0"/>
        <v>0.92498950430946503</v>
      </c>
      <c r="AK7">
        <f>'Regression Stat Calculations'!L6</f>
        <v>0.44439834717990223</v>
      </c>
      <c r="AL7">
        <f t="shared" si="1"/>
        <v>0.2308188432626756</v>
      </c>
    </row>
    <row r="8" spans="1:38" x14ac:dyDescent="0.3">
      <c r="C8">
        <v>5.4463085428529109E-2</v>
      </c>
      <c r="D8">
        <v>-1.0349487684067002E-3</v>
      </c>
      <c r="E8">
        <v>-1.3186410812369086E-5</v>
      </c>
      <c r="H8">
        <v>3.9834053994755522E-2</v>
      </c>
      <c r="I8">
        <v>4.8457228744587813E-2</v>
      </c>
      <c r="J8">
        <v>4.6874859447103519E-2</v>
      </c>
      <c r="K8">
        <v>4.9268377489912779E-2</v>
      </c>
      <c r="L8">
        <v>4.6275431196233542E-2</v>
      </c>
      <c r="M8">
        <v>4.2866928481600411E-2</v>
      </c>
      <c r="N8">
        <v>5.0942682702355108E-2</v>
      </c>
      <c r="O8">
        <v>4.4449297779084698E-2</v>
      </c>
      <c r="P8">
        <v>4.1624625902692385E-3</v>
      </c>
      <c r="Q8">
        <v>4.1310563045012308E-2</v>
      </c>
      <c r="R8">
        <v>2.8831654495111974E-2</v>
      </c>
      <c r="S8">
        <v>4.1278519419802755E-2</v>
      </c>
      <c r="T8">
        <v>4.6960755597748191E-2</v>
      </c>
      <c r="U8">
        <v>4.2161271022774394E-2</v>
      </c>
      <c r="V8">
        <v>3.924103446892746E-2</v>
      </c>
      <c r="W8">
        <v>3.38809429540637E-2</v>
      </c>
      <c r="X8">
        <v>4.5616110655615091E-2</v>
      </c>
      <c r="Y8">
        <v>4.5477837822449491E-2</v>
      </c>
      <c r="Z8">
        <v>5.0883528334063718E-2</v>
      </c>
      <c r="AA8">
        <v>2.6715420040091011E-2</v>
      </c>
      <c r="AB8">
        <v>4.2267500230730434E-2</v>
      </c>
      <c r="AC8">
        <v>1.6873424691935944E-2</v>
      </c>
      <c r="AD8">
        <v>3.9214661647302716E-2</v>
      </c>
      <c r="AE8">
        <v>3.7810124415421136E-2</v>
      </c>
      <c r="AF8">
        <v>4.8345328733046943E-2</v>
      </c>
      <c r="AI8">
        <f>M8</f>
        <v>4.2866928481600411E-2</v>
      </c>
      <c r="AJ8">
        <f t="shared" si="0"/>
        <v>0.95713307151839955</v>
      </c>
      <c r="AK8">
        <f>'Regression Stat Calculations'!L7</f>
        <v>0.28957428378780037</v>
      </c>
      <c r="AL8">
        <f t="shared" si="1"/>
        <v>9.1532502611117825E-2</v>
      </c>
    </row>
    <row r="9" spans="1:38" x14ac:dyDescent="0.3">
      <c r="C9">
        <v>9.5114016962857303E-2</v>
      </c>
      <c r="D9">
        <v>-4.2253061766475272E-3</v>
      </c>
      <c r="E9">
        <v>-4.4224821284755903E-5</v>
      </c>
      <c r="H9">
        <v>4.0770973806861302E-2</v>
      </c>
      <c r="I9">
        <v>7.2708637750268423E-2</v>
      </c>
      <c r="J9">
        <v>6.740165919609771E-2</v>
      </c>
      <c r="K9">
        <v>7.4674806553486725E-2</v>
      </c>
      <c r="L9">
        <v>6.3128456710258768E-2</v>
      </c>
      <c r="M9">
        <v>5.0942682702355163E-2</v>
      </c>
      <c r="N9">
        <v>8.1798674268239099E-2</v>
      </c>
      <c r="O9">
        <v>5.6249661256525869E-2</v>
      </c>
      <c r="P9">
        <v>-9.621340741231213E-2</v>
      </c>
      <c r="Q9">
        <v>4.7231469202342342E-2</v>
      </c>
      <c r="R9">
        <v>-2.9175589074151922E-3</v>
      </c>
      <c r="S9">
        <v>4.335261862015951E-2</v>
      </c>
      <c r="T9">
        <v>6.6935462828654438E-2</v>
      </c>
      <c r="U9">
        <v>4.9330312469414925E-2</v>
      </c>
      <c r="V9">
        <v>3.727354143745891E-2</v>
      </c>
      <c r="W9">
        <v>1.8542493879411447E-2</v>
      </c>
      <c r="X9">
        <v>6.091721564602097E-2</v>
      </c>
      <c r="Y9">
        <v>5.9699197316736827E-2</v>
      </c>
      <c r="Z9">
        <v>8.0846004866663504E-2</v>
      </c>
      <c r="AA9">
        <v>-1.0769300429412702E-2</v>
      </c>
      <c r="AB9">
        <v>4.6669480216516207E-2</v>
      </c>
      <c r="AC9">
        <v>-5.0566048870630681E-2</v>
      </c>
      <c r="AD9">
        <v>3.7185091794889401E-2</v>
      </c>
      <c r="AE9">
        <v>3.3228806033857083E-2</v>
      </c>
      <c r="AF9">
        <v>7.157906906355381E-2</v>
      </c>
      <c r="AI9">
        <f>N9</f>
        <v>8.1798674268239099E-2</v>
      </c>
      <c r="AJ9">
        <f t="shared" si="0"/>
        <v>0.91820132573176094</v>
      </c>
      <c r="AK9">
        <f>'Regression Stat Calculations'!L8</f>
        <v>-0.84462354547901874</v>
      </c>
      <c r="AL9">
        <f t="shared" si="1"/>
        <v>0.84615619247373397</v>
      </c>
    </row>
    <row r="10" spans="1:38" x14ac:dyDescent="0.3">
      <c r="C10">
        <v>6.4503793805415321E-2</v>
      </c>
      <c r="D10">
        <v>4.7079016203377799E-3</v>
      </c>
      <c r="E10">
        <v>-1.6063577990513647E-4</v>
      </c>
      <c r="H10">
        <v>7.5030684009033538E-3</v>
      </c>
      <c r="I10">
        <v>4.3287627087298643E-2</v>
      </c>
      <c r="J10">
        <v>2.4011333498682265E-2</v>
      </c>
      <c r="K10">
        <v>7.0484537894355534E-2</v>
      </c>
      <c r="L10">
        <v>6.8655836541671525E-2</v>
      </c>
      <c r="M10">
        <v>4.4449297779084747E-2</v>
      </c>
      <c r="N10">
        <v>5.6249661256525876E-2</v>
      </c>
      <c r="O10">
        <v>6.3725591367701118E-2</v>
      </c>
      <c r="P10">
        <v>-2.8787396245950531E-2</v>
      </c>
      <c r="Q10">
        <v>-9.141344935503351E-3</v>
      </c>
      <c r="R10">
        <v>2.9312803156085906E-2</v>
      </c>
      <c r="S10">
        <v>7.7046117329188785E-2</v>
      </c>
      <c r="T10">
        <v>4.2373276410956652E-2</v>
      </c>
      <c r="U10">
        <v>1.8537473211268946E-2</v>
      </c>
      <c r="V10">
        <v>3.4910078990954205E-2</v>
      </c>
      <c r="W10">
        <v>-1.3070555197592773E-2</v>
      </c>
      <c r="X10">
        <v>6.0624047546414706E-2</v>
      </c>
      <c r="Y10">
        <v>7.6255182200301766E-2</v>
      </c>
      <c r="Z10">
        <v>7.2844610589843747E-2</v>
      </c>
      <c r="AA10">
        <v>2.0848570824202481E-2</v>
      </c>
      <c r="AB10">
        <v>8.9093800822074021E-2</v>
      </c>
      <c r="AC10">
        <v>5.6794254211037065E-2</v>
      </c>
      <c r="AD10">
        <v>3.4588807431143925E-2</v>
      </c>
      <c r="AE10">
        <v>1.632865283558993E-4</v>
      </c>
      <c r="AF10">
        <v>5.9240033300995976E-2</v>
      </c>
      <c r="AI10">
        <f>O10</f>
        <v>6.3725591367701118E-2</v>
      </c>
      <c r="AJ10">
        <f t="shared" si="0"/>
        <v>0.93627440863229894</v>
      </c>
      <c r="AK10">
        <f>'Regression Stat Calculations'!L9</f>
        <v>-1.1566048668779629</v>
      </c>
      <c r="AL10">
        <f t="shared" si="1"/>
        <v>1.5260322968353994</v>
      </c>
    </row>
    <row r="11" spans="1:38" x14ac:dyDescent="0.3">
      <c r="C11">
        <v>-0.14240456286665204</v>
      </c>
      <c r="D11">
        <v>7.9935590939023971E-3</v>
      </c>
      <c r="E11">
        <v>2.7458215696849831E-4</v>
      </c>
      <c r="H11">
        <v>6.7316358693023798E-2</v>
      </c>
      <c r="I11">
        <v>-5.801581105187522E-2</v>
      </c>
      <c r="J11">
        <v>-2.5065952215655427E-2</v>
      </c>
      <c r="K11">
        <v>-8.8463753933562594E-2</v>
      </c>
      <c r="L11">
        <v>-5.3255884757962911E-2</v>
      </c>
      <c r="M11">
        <v>4.1624625902691864E-3</v>
      </c>
      <c r="N11">
        <v>-9.6213407412312435E-2</v>
      </c>
      <c r="O11">
        <v>-2.8787396245950614E-2</v>
      </c>
      <c r="P11">
        <v>0.49829215912442743</v>
      </c>
      <c r="Q11">
        <v>6.3685437568801434E-2</v>
      </c>
      <c r="R11">
        <v>0.17440490663011315</v>
      </c>
      <c r="S11">
        <v>-3.4338081794009351E-3</v>
      </c>
      <c r="T11">
        <v>-4.0411876464075389E-2</v>
      </c>
      <c r="U11">
        <v>3.2413748216208571E-2</v>
      </c>
      <c r="V11">
        <v>5.2550275300356775E-2</v>
      </c>
      <c r="W11">
        <v>0.15060678187992663</v>
      </c>
      <c r="X11">
        <v>-3.9526776909538E-2</v>
      </c>
      <c r="Y11">
        <v>-5.0204804489493486E-2</v>
      </c>
      <c r="Z11">
        <v>-0.1085389279340789</v>
      </c>
      <c r="AA11">
        <v>0.20491420259543242</v>
      </c>
      <c r="AB11">
        <v>-2.4027469952038305E-2</v>
      </c>
      <c r="AC11">
        <v>0.28783952071929392</v>
      </c>
      <c r="AD11">
        <v>5.3099439614293767E-2</v>
      </c>
      <c r="AE11">
        <v>9.5903579559563551E-2</v>
      </c>
      <c r="AF11">
        <v>-6.9243002945767712E-2</v>
      </c>
      <c r="AI11">
        <f>P11</f>
        <v>0.49829215912442743</v>
      </c>
      <c r="AJ11">
        <f t="shared" si="0"/>
        <v>0.50170784087557263</v>
      </c>
      <c r="AK11">
        <f>'Regression Stat Calculations'!L10</f>
        <v>-7.4197062034301524</v>
      </c>
      <c r="AL11">
        <f t="shared" si="1"/>
        <v>218.71151106530382</v>
      </c>
    </row>
    <row r="12" spans="1:38" x14ac:dyDescent="0.3">
      <c r="C12">
        <v>4.0350315202179583E-2</v>
      </c>
      <c r="D12">
        <v>-1.9683214157655074E-2</v>
      </c>
      <c r="E12">
        <v>4.2043256650429751E-4</v>
      </c>
      <c r="H12">
        <v>0.13801005334100064</v>
      </c>
      <c r="I12">
        <v>7.3795837360159822E-2</v>
      </c>
      <c r="J12">
        <v>0.12424774534067551</v>
      </c>
      <c r="K12">
        <v>-4.7479361080969146E-3</v>
      </c>
      <c r="L12">
        <v>-1.4684084768106245E-2</v>
      </c>
      <c r="M12">
        <v>4.1310563045012211E-2</v>
      </c>
      <c r="N12">
        <v>4.7231469202342162E-2</v>
      </c>
      <c r="O12">
        <v>-9.1413449355034759E-3</v>
      </c>
      <c r="P12">
        <v>6.3685437568801739E-2</v>
      </c>
      <c r="Q12">
        <v>0.19629594714900422</v>
      </c>
      <c r="R12">
        <v>1.4676494434655074E-2</v>
      </c>
      <c r="S12">
        <v>-6.6088824575947197E-2</v>
      </c>
      <c r="T12">
        <v>6.8827763030155142E-2</v>
      </c>
      <c r="U12">
        <v>0.11649087598123459</v>
      </c>
      <c r="V12">
        <v>5.1555177577209205E-2</v>
      </c>
      <c r="W12">
        <v>0.16977384523296371</v>
      </c>
      <c r="X12">
        <v>6.337543557108638E-3</v>
      </c>
      <c r="Y12">
        <v>-4.1935085122838688E-2</v>
      </c>
      <c r="Z12">
        <v>-3.5637548766309281E-3</v>
      </c>
      <c r="AA12">
        <v>2.9468750730352433E-2</v>
      </c>
      <c r="AB12">
        <v>-9.7621267063769515E-2</v>
      </c>
      <c r="AC12">
        <v>-0.13086287402837132</v>
      </c>
      <c r="AD12">
        <v>5.2396042710217805E-2</v>
      </c>
      <c r="AE12">
        <v>0.14985928167116791</v>
      </c>
      <c r="AF12">
        <v>2.468234354720391E-2</v>
      </c>
      <c r="AI12">
        <f>Q12</f>
        <v>0.19629594714900422</v>
      </c>
      <c r="AJ12">
        <f t="shared" si="0"/>
        <v>0.80370405285099578</v>
      </c>
      <c r="AK12">
        <f>'Regression Stat Calculations'!L11</f>
        <v>-2.3764129171549868</v>
      </c>
      <c r="AL12">
        <f t="shared" si="1"/>
        <v>8.7428190920368749</v>
      </c>
    </row>
    <row r="13" spans="1:38" x14ac:dyDescent="0.3">
      <c r="C13">
        <v>-1.5529033680581013E-2</v>
      </c>
      <c r="D13">
        <v>6.5262638561958825E-3</v>
      </c>
      <c r="E13">
        <v>-4.0095721747825108E-6</v>
      </c>
      <c r="H13">
        <v>2.7909452894911958E-2</v>
      </c>
      <c r="I13">
        <v>3.1676520095544822E-3</v>
      </c>
      <c r="J13">
        <v>2.6865033485805809E-3</v>
      </c>
      <c r="K13">
        <v>1.0255255970219916E-2</v>
      </c>
      <c r="L13">
        <v>2.3027113630376905E-2</v>
      </c>
      <c r="M13">
        <v>2.8831654495111936E-2</v>
      </c>
      <c r="N13">
        <v>-2.9175589074153241E-3</v>
      </c>
      <c r="O13">
        <v>2.9312803156085837E-2</v>
      </c>
      <c r="P13">
        <v>0.17440490663011299</v>
      </c>
      <c r="Q13">
        <v>1.467649443465498E-2</v>
      </c>
      <c r="R13">
        <v>8.6132602362302746E-2</v>
      </c>
      <c r="S13">
        <v>4.8871546863799575E-2</v>
      </c>
      <c r="T13">
        <v>9.5535808396329767E-3</v>
      </c>
      <c r="U13">
        <v>2.1776127111844762E-2</v>
      </c>
      <c r="V13">
        <v>4.1411052690879364E-2</v>
      </c>
      <c r="W13">
        <v>4.6622176873746583E-2</v>
      </c>
      <c r="X13">
        <v>2.282663502163778E-2</v>
      </c>
      <c r="Y13">
        <v>2.9625549785718873E-2</v>
      </c>
      <c r="Z13">
        <v>3.9054132897144642E-3</v>
      </c>
      <c r="AA13">
        <v>9.2330081300166456E-2</v>
      </c>
      <c r="AB13">
        <v>4.917226477690826E-2</v>
      </c>
      <c r="AC13">
        <v>0.15090607311893811</v>
      </c>
      <c r="AD13">
        <v>4.1403033546529799E-2</v>
      </c>
      <c r="AE13">
        <v>3.4134998837999156E-2</v>
      </c>
      <c r="AF13">
        <v>9.9745859179851404E-3</v>
      </c>
      <c r="AI13">
        <f>R13</f>
        <v>8.6132602362302746E-2</v>
      </c>
      <c r="AJ13">
        <f t="shared" si="0"/>
        <v>0.9138673976376972</v>
      </c>
      <c r="AK13">
        <f>'Regression Stat Calculations'!L12</f>
        <v>-2.2374930212427486</v>
      </c>
      <c r="AL13">
        <f t="shared" si="1"/>
        <v>5.9945558486856019</v>
      </c>
    </row>
    <row r="14" spans="1:38" x14ac:dyDescent="0.3">
      <c r="C14">
        <v>5.0739651250356316E-2</v>
      </c>
      <c r="D14">
        <v>1.2699966060036852E-2</v>
      </c>
      <c r="E14">
        <v>-2.9806331591154984E-4</v>
      </c>
      <c r="H14">
        <v>-2.7276043239853637E-2</v>
      </c>
      <c r="I14">
        <v>2.3265619929925901E-2</v>
      </c>
      <c r="J14">
        <v>-1.2501977979460066E-2</v>
      </c>
      <c r="K14">
        <v>7.769445021757973E-2</v>
      </c>
      <c r="L14">
        <v>8.2229950223844953E-2</v>
      </c>
      <c r="M14">
        <v>4.1278519419802831E-2</v>
      </c>
      <c r="N14">
        <v>4.335261862015953E-2</v>
      </c>
      <c r="O14">
        <v>7.7046117329188812E-2</v>
      </c>
      <c r="P14">
        <v>-3.4338081794009212E-3</v>
      </c>
      <c r="Q14">
        <v>-6.6088824575947072E-2</v>
      </c>
      <c r="R14">
        <v>4.8871546863799659E-2</v>
      </c>
      <c r="S14">
        <v>0.11365569892974162</v>
      </c>
      <c r="T14">
        <v>2.5533369933058506E-2</v>
      </c>
      <c r="U14">
        <v>-1.0765804340558599E-2</v>
      </c>
      <c r="V14">
        <v>3.1506980262313661E-2</v>
      </c>
      <c r="W14">
        <v>-5.3557821296637831E-2</v>
      </c>
      <c r="X14">
        <v>6.7326784428267464E-2</v>
      </c>
      <c r="Y14">
        <v>0.1002950559702897</v>
      </c>
      <c r="Z14">
        <v>7.8109270057651087E-2</v>
      </c>
      <c r="AA14">
        <v>3.7130321019089391E-2</v>
      </c>
      <c r="AB14">
        <v>0.13601044762310785</v>
      </c>
      <c r="AC14">
        <v>0.13950748292295911</v>
      </c>
      <c r="AD14">
        <v>3.0910853630490565E-2</v>
      </c>
      <c r="AE14">
        <v>-3.6930825873182999E-2</v>
      </c>
      <c r="AF14">
        <v>5.6830018103771238E-2</v>
      </c>
      <c r="AI14">
        <f>S14</f>
        <v>0.11365569892974162</v>
      </c>
      <c r="AJ14">
        <f t="shared" si="0"/>
        <v>0.88634430107025841</v>
      </c>
      <c r="AK14">
        <f>'Regression Stat Calculations'!L13</f>
        <v>0.59304089622752798</v>
      </c>
      <c r="AL14">
        <f t="shared" si="1"/>
        <v>0.44767657845245384</v>
      </c>
    </row>
    <row r="15" spans="1:38" x14ac:dyDescent="0.3">
      <c r="C15">
        <v>7.4084307870105059E-2</v>
      </c>
      <c r="D15">
        <v>-5.6770171480048223E-3</v>
      </c>
      <c r="E15">
        <v>3.8228993223263306E-5</v>
      </c>
      <c r="H15">
        <v>5.5753424039098755E-2</v>
      </c>
      <c r="I15">
        <v>6.5463634935208515E-2</v>
      </c>
      <c r="J15">
        <v>7.0051114122000116E-2</v>
      </c>
      <c r="K15">
        <v>5.4434558735946832E-2</v>
      </c>
      <c r="L15">
        <v>4.5756553965565626E-2</v>
      </c>
      <c r="M15">
        <v>4.6960755597748191E-2</v>
      </c>
      <c r="N15">
        <v>6.6935462828654382E-2</v>
      </c>
      <c r="O15">
        <v>4.2373276410956597E-2</v>
      </c>
      <c r="P15">
        <v>-4.041187646407518E-2</v>
      </c>
      <c r="Q15">
        <v>6.882776303015524E-2</v>
      </c>
      <c r="R15">
        <v>9.5535808396330565E-3</v>
      </c>
      <c r="S15">
        <v>2.5533369933058443E-2</v>
      </c>
      <c r="T15">
        <v>6.1124632550017911E-2</v>
      </c>
      <c r="U15">
        <v>5.7683999851223772E-2</v>
      </c>
      <c r="V15">
        <v>4.0117742502083623E-2</v>
      </c>
      <c r="W15">
        <v>4.6979835131309156E-2</v>
      </c>
      <c r="X15">
        <v>4.7668003626728787E-2</v>
      </c>
      <c r="Y15">
        <v>3.9391414939542062E-2</v>
      </c>
      <c r="Z15">
        <v>5.8429500182128072E-2</v>
      </c>
      <c r="AA15">
        <v>7.0113411359358259E-3</v>
      </c>
      <c r="AB15">
        <v>2.2666195441313697E-2</v>
      </c>
      <c r="AC15">
        <v>-4.2552653467177036E-2</v>
      </c>
      <c r="AD15">
        <v>4.0194200488530146E-2</v>
      </c>
      <c r="AE15">
        <v>5.2943581382838681E-2</v>
      </c>
      <c r="AF15">
        <v>5.7110588261575265E-2</v>
      </c>
      <c r="AI15">
        <f>T15</f>
        <v>6.1124632550017911E-2</v>
      </c>
      <c r="AJ15">
        <f t="shared" si="0"/>
        <v>0.93887536744998212</v>
      </c>
      <c r="AK15">
        <f>'Regression Stat Calculations'!L14</f>
        <v>-1.0270093172060513</v>
      </c>
      <c r="AL15">
        <f t="shared" si="1"/>
        <v>1.1965555824985687</v>
      </c>
    </row>
    <row r="16" spans="1:38" x14ac:dyDescent="0.3">
      <c r="C16">
        <v>4.786689944929496E-2</v>
      </c>
      <c r="D16">
        <v>-1.00958674868801E-2</v>
      </c>
      <c r="E16">
        <v>1.9686498176254565E-4</v>
      </c>
      <c r="H16">
        <v>8.7440216828159834E-2</v>
      </c>
      <c r="I16">
        <v>6.0889592976414705E-2</v>
      </c>
      <c r="J16">
        <v>8.4513390787920195E-2</v>
      </c>
      <c r="K16">
        <v>2.323262804277821E-2</v>
      </c>
      <c r="L16">
        <v>1.6821441792396207E-2</v>
      </c>
      <c r="M16">
        <v>4.2161271022774331E-2</v>
      </c>
      <c r="N16">
        <v>4.9330312469414786E-2</v>
      </c>
      <c r="O16">
        <v>1.8537473211268848E-2</v>
      </c>
      <c r="P16">
        <v>3.2413748216208627E-2</v>
      </c>
      <c r="Q16">
        <v>0.11649087598123459</v>
      </c>
      <c r="R16">
        <v>2.1776127111844762E-2</v>
      </c>
      <c r="S16">
        <v>-1.0765804340558724E-2</v>
      </c>
      <c r="T16">
        <v>5.7683999851223702E-2</v>
      </c>
      <c r="U16">
        <v>7.8243316102310445E-2</v>
      </c>
      <c r="V16">
        <v>4.5199603896994518E-2</v>
      </c>
      <c r="W16">
        <v>9.9675450428229367E-2</v>
      </c>
      <c r="X16">
        <v>2.6664690880523492E-2</v>
      </c>
      <c r="Y16">
        <v>3.1820046337902863E-3</v>
      </c>
      <c r="Z16">
        <v>2.4666436332106301E-2</v>
      </c>
      <c r="AA16">
        <v>2.7823188129493415E-2</v>
      </c>
      <c r="AB16">
        <v>-2.553067797274965E-2</v>
      </c>
      <c r="AC16">
        <v>-5.5165019981925661E-2</v>
      </c>
      <c r="AD16">
        <v>4.5593333860519607E-2</v>
      </c>
      <c r="AE16">
        <v>9.2109222973470628E-2</v>
      </c>
      <c r="AF16">
        <v>3.7013176766156411E-2</v>
      </c>
      <c r="AI16">
        <f>U16</f>
        <v>7.8243316102310445E-2</v>
      </c>
      <c r="AJ16">
        <f t="shared" si="0"/>
        <v>0.92175668389768961</v>
      </c>
      <c r="AK16">
        <f>'Regression Stat Calculations'!L15</f>
        <v>-1.0675358610891053</v>
      </c>
      <c r="AL16">
        <f t="shared" si="1"/>
        <v>1.3413198599734411</v>
      </c>
    </row>
    <row r="17" spans="3:38" x14ac:dyDescent="0.3">
      <c r="C17">
        <v>3.5692535720576277E-2</v>
      </c>
      <c r="D17">
        <v>-1.1945184022964829E-3</v>
      </c>
      <c r="E17">
        <v>3.6091295649777477E-5</v>
      </c>
      <c r="H17">
        <v>4.754203246837628E-2</v>
      </c>
      <c r="I17">
        <v>4.0049065556637869E-2</v>
      </c>
      <c r="J17">
        <v>4.4380021034611167E-2</v>
      </c>
      <c r="K17">
        <v>3.3801765763372543E-2</v>
      </c>
      <c r="L17">
        <v>3.3939119654264001E-2</v>
      </c>
      <c r="M17">
        <v>3.924103446892746E-2</v>
      </c>
      <c r="N17">
        <v>3.7273541437458833E-2</v>
      </c>
      <c r="O17">
        <v>3.4910078990954163E-2</v>
      </c>
      <c r="P17">
        <v>5.2550275300356906E-2</v>
      </c>
      <c r="Q17">
        <v>5.1555177577209232E-2</v>
      </c>
      <c r="R17">
        <v>4.1411052690879455E-2</v>
      </c>
      <c r="S17">
        <v>3.1506980262313605E-2</v>
      </c>
      <c r="T17">
        <v>4.0117742502083602E-2</v>
      </c>
      <c r="U17">
        <v>4.5199603896994574E-2</v>
      </c>
      <c r="V17">
        <v>4.1110770551008244E-2</v>
      </c>
      <c r="W17">
        <v>5.175419712183877E-2</v>
      </c>
      <c r="X17">
        <v>3.5743684436752875E-2</v>
      </c>
      <c r="Y17">
        <v>3.209495793027152E-2</v>
      </c>
      <c r="Z17">
        <v>3.3408267157078814E-2</v>
      </c>
      <c r="AA17">
        <v>4.3176020531864728E-2</v>
      </c>
      <c r="AB17">
        <v>2.8800133088580294E-2</v>
      </c>
      <c r="AC17">
        <v>3.3869006737187478E-2</v>
      </c>
      <c r="AD17">
        <v>4.1182953142307799E-2</v>
      </c>
      <c r="AE17">
        <v>4.9054361239813112E-2</v>
      </c>
      <c r="AF17">
        <v>3.6328156458856967E-2</v>
      </c>
      <c r="AI17">
        <f>V17</f>
        <v>4.1110770551008244E-2</v>
      </c>
      <c r="AJ17">
        <f t="shared" si="0"/>
        <v>0.9588892294489918</v>
      </c>
      <c r="AK17">
        <f>'Regression Stat Calculations'!L16</f>
        <v>-0.67120179683902848</v>
      </c>
      <c r="AL17">
        <f t="shared" si="1"/>
        <v>0.48996983088433416</v>
      </c>
    </row>
    <row r="18" spans="3:38" x14ac:dyDescent="0.3">
      <c r="C18">
        <v>3.7993395884132614E-3</v>
      </c>
      <c r="D18">
        <v>-1.4147859507343583E-2</v>
      </c>
      <c r="E18">
        <v>3.9126248459713767E-4</v>
      </c>
      <c r="H18">
        <v>0.12387131441140528</v>
      </c>
      <c r="I18">
        <v>4.7433507677752798E-2</v>
      </c>
      <c r="J18">
        <v>9.4385005829409313E-2</v>
      </c>
      <c r="K18">
        <v>-2.1491099673190059E-2</v>
      </c>
      <c r="L18">
        <v>-2.2398444766077587E-2</v>
      </c>
      <c r="M18">
        <v>3.3880942954063603E-2</v>
      </c>
      <c r="N18">
        <v>1.8542493879411238E-2</v>
      </c>
      <c r="O18">
        <v>-1.3070555197592912E-2</v>
      </c>
      <c r="P18">
        <v>0.15060678187992682</v>
      </c>
      <c r="Q18">
        <v>0.16977384523296363</v>
      </c>
      <c r="R18">
        <v>4.6622176873746646E-2</v>
      </c>
      <c r="S18">
        <v>-5.3557821296637984E-2</v>
      </c>
      <c r="T18">
        <v>4.6979835131309031E-2</v>
      </c>
      <c r="U18">
        <v>9.9675450428229381E-2</v>
      </c>
      <c r="V18">
        <v>5.1754197121838694E-2</v>
      </c>
      <c r="W18">
        <v>0.16594043256235624</v>
      </c>
      <c r="X18">
        <v>-2.8353205362206951E-3</v>
      </c>
      <c r="Y18">
        <v>-4.3589028996169642E-2</v>
      </c>
      <c r="Z18">
        <v>-2.4558789488120531E-2</v>
      </c>
      <c r="AA18">
        <v>6.4557841103368374E-2</v>
      </c>
      <c r="AB18">
        <v>-8.2902507641423304E-2</v>
      </c>
      <c r="AC18">
        <v>-4.7122395078838364E-2</v>
      </c>
      <c r="AD18">
        <v>5.2536722091032953E-2</v>
      </c>
      <c r="AE18">
        <v>0.13906814124884703</v>
      </c>
      <c r="AF18">
        <v>5.8972742486095783E-3</v>
      </c>
      <c r="AI18">
        <f>W18</f>
        <v>0.16594043256235624</v>
      </c>
      <c r="AJ18">
        <f t="shared" si="0"/>
        <v>0.83405956743764376</v>
      </c>
      <c r="AK18">
        <f>'Regression Stat Calculations'!L17</f>
        <v>0.66292842558998188</v>
      </c>
      <c r="AL18">
        <f t="shared" si="1"/>
        <v>0.63174111987016179</v>
      </c>
    </row>
    <row r="19" spans="3:38" x14ac:dyDescent="0.3">
      <c r="C19">
        <v>6.9789112738829859E-2</v>
      </c>
      <c r="D19">
        <v>2.4426891952120111E-3</v>
      </c>
      <c r="E19">
        <v>-1.2506614075666306E-4</v>
      </c>
      <c r="H19">
        <v>1.6850898281582621E-2</v>
      </c>
      <c r="I19">
        <v>4.9602629358000014E-2</v>
      </c>
      <c r="J19">
        <v>3.4594692467200448E-2</v>
      </c>
      <c r="K19">
        <v>6.955457825914485E-2</v>
      </c>
      <c r="L19">
        <v>6.5685326796602467E-2</v>
      </c>
      <c r="M19">
        <v>4.5616110655615126E-2</v>
      </c>
      <c r="N19">
        <v>6.0917215646020942E-2</v>
      </c>
      <c r="O19">
        <v>6.0624047546414692E-2</v>
      </c>
      <c r="P19">
        <v>-3.9526776909537875E-2</v>
      </c>
      <c r="Q19">
        <v>6.3375435571087629E-3</v>
      </c>
      <c r="R19">
        <v>2.2826635021637842E-2</v>
      </c>
      <c r="S19">
        <v>6.7326784428267408E-2</v>
      </c>
      <c r="T19">
        <v>4.7668003626728822E-2</v>
      </c>
      <c r="U19">
        <v>2.6664690880523589E-2</v>
      </c>
      <c r="V19">
        <v>3.5743684436752909E-2</v>
      </c>
      <c r="W19">
        <v>-2.8353205362205702E-3</v>
      </c>
      <c r="X19">
        <v>5.9432019758769314E-2</v>
      </c>
      <c r="Y19">
        <v>7.0379206525434418E-2</v>
      </c>
      <c r="Z19">
        <v>7.2614799257226026E-2</v>
      </c>
      <c r="AA19">
        <v>1.5013900674803488E-2</v>
      </c>
      <c r="AB19">
        <v>7.6706744985017145E-2</v>
      </c>
      <c r="AC19">
        <v>3.1995457801445082E-2</v>
      </c>
      <c r="AD19">
        <v>3.5493552155239583E-2</v>
      </c>
      <c r="AE19">
        <v>9.9136269200448962E-3</v>
      </c>
      <c r="AF19">
        <v>6.0799948406178445E-2</v>
      </c>
      <c r="AI19">
        <f>X19</f>
        <v>5.9432019758769314E-2</v>
      </c>
      <c r="AJ19">
        <f t="shared" si="0"/>
        <v>0.94056798024123067</v>
      </c>
      <c r="AK19">
        <f>'Regression Stat Calculations'!L18</f>
        <v>-0.43636034004269497</v>
      </c>
      <c r="AL19">
        <f t="shared" si="1"/>
        <v>0.21523364624924224</v>
      </c>
    </row>
    <row r="20" spans="3:38" x14ac:dyDescent="0.3">
      <c r="C20">
        <v>7.1030254250391361E-2</v>
      </c>
      <c r="D20">
        <v>8.4407543730216899E-3</v>
      </c>
      <c r="E20">
        <v>-2.5647786981543525E-4</v>
      </c>
      <c r="H20">
        <v>-1.3512072235100536E-2</v>
      </c>
      <c r="I20">
        <v>3.9927386010060684E-2</v>
      </c>
      <c r="J20">
        <v>9.1500416322084499E-3</v>
      </c>
      <c r="K20">
        <v>8.427504215724331E-2</v>
      </c>
      <c r="L20">
        <v>8.3203100016206205E-2</v>
      </c>
      <c r="M20">
        <v>4.5477837822449574E-2</v>
      </c>
      <c r="N20">
        <v>5.9699197316736868E-2</v>
      </c>
      <c r="O20">
        <v>7.6255182200301808E-2</v>
      </c>
      <c r="P20">
        <v>-5.0204804489493438E-2</v>
      </c>
      <c r="Q20">
        <v>-4.19350851228385E-2</v>
      </c>
      <c r="R20">
        <v>2.9625549785718963E-2</v>
      </c>
      <c r="S20">
        <v>0.10029505597028968</v>
      </c>
      <c r="T20">
        <v>3.9391414939542138E-2</v>
      </c>
      <c r="U20">
        <v>3.1820046337904112E-3</v>
      </c>
      <c r="V20">
        <v>3.2094957930271589E-2</v>
      </c>
      <c r="W20">
        <v>-4.358902899616951E-2</v>
      </c>
      <c r="X20">
        <v>7.0379206525434446E-2</v>
      </c>
      <c r="Y20">
        <v>9.6260456045905746E-2</v>
      </c>
      <c r="Z20">
        <v>8.7119314056100766E-2</v>
      </c>
      <c r="AA20">
        <v>1.7035118833874957E-2</v>
      </c>
      <c r="AB20">
        <v>0.11953089620644732</v>
      </c>
      <c r="AC20">
        <v>8.2742793398452724E-2</v>
      </c>
      <c r="AD20">
        <v>3.1582002190640723E-2</v>
      </c>
      <c r="AE20">
        <v>-2.4307158098236525E-2</v>
      </c>
      <c r="AF20">
        <v>6.632159127016285E-2</v>
      </c>
      <c r="AI20">
        <f>Y20</f>
        <v>9.6260456045905746E-2</v>
      </c>
      <c r="AJ20">
        <f t="shared" si="0"/>
        <v>0.90373954395409428</v>
      </c>
      <c r="AK20">
        <f>'Regression Stat Calculations'!L19</f>
        <v>-3.4486213148107119</v>
      </c>
      <c r="AL20">
        <f t="shared" si="1"/>
        <v>14.561444018623225</v>
      </c>
    </row>
    <row r="21" spans="3:38" x14ac:dyDescent="0.3">
      <c r="C21">
        <v>9.685719389326311E-2</v>
      </c>
      <c r="D21">
        <v>2.0599015205993746E-3</v>
      </c>
      <c r="E21">
        <v>-1.8300901879816648E-4</v>
      </c>
      <c r="H21">
        <v>8.7914540104854916E-3</v>
      </c>
      <c r="I21">
        <v>6.2774914319464609E-2</v>
      </c>
      <c r="J21">
        <v>4.0813832063684635E-2</v>
      </c>
      <c r="K21">
        <v>9.0456078471807297E-2</v>
      </c>
      <c r="L21">
        <v>8.1765250197134376E-2</v>
      </c>
      <c r="M21">
        <v>5.0883528334063788E-2</v>
      </c>
      <c r="N21">
        <v>8.0846004866663546E-2</v>
      </c>
      <c r="O21">
        <v>7.2844610589843761E-2</v>
      </c>
      <c r="P21">
        <v>-0.10853892793407871</v>
      </c>
      <c r="Q21">
        <v>-3.5637548766307425E-3</v>
      </c>
      <c r="R21">
        <v>3.9054132897145544E-3</v>
      </c>
      <c r="S21">
        <v>7.8109270057651059E-2</v>
      </c>
      <c r="T21">
        <v>5.8429500182128162E-2</v>
      </c>
      <c r="U21">
        <v>2.4666436332106439E-2</v>
      </c>
      <c r="V21">
        <v>3.3408267157078897E-2</v>
      </c>
      <c r="W21">
        <v>-2.4558789488120319E-2</v>
      </c>
      <c r="X21">
        <v>7.2614799257226054E-2</v>
      </c>
      <c r="Y21">
        <v>8.7119314056100752E-2</v>
      </c>
      <c r="Z21">
        <v>9.6448573778327246E-2</v>
      </c>
      <c r="AA21">
        <v>-9.0414247311357276E-3</v>
      </c>
      <c r="AB21">
        <v>9.1834946467513556E-2</v>
      </c>
      <c r="AC21">
        <v>2.1773282023320184E-3</v>
      </c>
      <c r="AD21">
        <v>3.3042249119482572E-2</v>
      </c>
      <c r="AE21">
        <v>-2.8743208787776059E-3</v>
      </c>
      <c r="AF21">
        <v>7.7645447155935632E-2</v>
      </c>
      <c r="AI21">
        <f>Z21</f>
        <v>9.6448573778327246E-2</v>
      </c>
      <c r="AJ21">
        <f t="shared" si="0"/>
        <v>0.90355142622167273</v>
      </c>
      <c r="AK21">
        <f>'Regression Stat Calculations'!L20</f>
        <v>-1.7931934777803242</v>
      </c>
      <c r="AL21">
        <f t="shared" si="1"/>
        <v>3.9386605183401948</v>
      </c>
    </row>
    <row r="22" spans="3:38" x14ac:dyDescent="0.3">
      <c r="C22">
        <v>-2.6838777640127279E-2</v>
      </c>
      <c r="D22">
        <v>5.3457660480749625E-3</v>
      </c>
      <c r="E22">
        <v>4.8890410132404385E-5</v>
      </c>
      <c r="H22">
        <v>3.7960214370543914E-2</v>
      </c>
      <c r="I22">
        <v>-4.5589266773426659E-5</v>
      </c>
      <c r="J22">
        <v>5.8212599491151013E-3</v>
      </c>
      <c r="K22">
        <v>-1.5444806372350781E-3</v>
      </c>
      <c r="L22">
        <v>1.2569380168183153E-2</v>
      </c>
      <c r="M22">
        <v>2.6715420040090906E-2</v>
      </c>
      <c r="N22">
        <v>-1.0769300429412872E-2</v>
      </c>
      <c r="O22">
        <v>2.084857082420238E-2</v>
      </c>
      <c r="P22">
        <v>0.20491420259543203</v>
      </c>
      <c r="Q22">
        <v>2.9468750730352187E-2</v>
      </c>
      <c r="R22">
        <v>9.2330081300166345E-2</v>
      </c>
      <c r="S22">
        <v>3.7130321019089287E-2</v>
      </c>
      <c r="T22">
        <v>7.0113411359356888E-3</v>
      </c>
      <c r="U22">
        <v>2.7823188129493321E-2</v>
      </c>
      <c r="V22">
        <v>4.3176020531864548E-2</v>
      </c>
      <c r="W22">
        <v>6.4557841103368152E-2</v>
      </c>
      <c r="X22">
        <v>1.5013900674803373E-2</v>
      </c>
      <c r="Y22">
        <v>1.7035118833874839E-2</v>
      </c>
      <c r="Z22">
        <v>-9.0414247311358335E-3</v>
      </c>
      <c r="AA22">
        <v>0.10168486097909846</v>
      </c>
      <c r="AB22">
        <v>3.3463540259158958E-2</v>
      </c>
      <c r="AC22">
        <v>0.1517523718170693</v>
      </c>
      <c r="AD22">
        <v>4.3273801352129354E-2</v>
      </c>
      <c r="AE22">
        <v>4.6972761178549205E-2</v>
      </c>
      <c r="AF22">
        <v>1.8778480720332289E-3</v>
      </c>
      <c r="AI22">
        <f>AA22</f>
        <v>0.10168486097909846</v>
      </c>
      <c r="AJ22">
        <f t="shared" si="0"/>
        <v>0.89831513902090154</v>
      </c>
      <c r="AK22">
        <f>'Regression Stat Calculations'!L21</f>
        <v>5.787969942321439</v>
      </c>
      <c r="AL22">
        <f t="shared" si="1"/>
        <v>41.514049293913352</v>
      </c>
    </row>
    <row r="23" spans="3:38" x14ac:dyDescent="0.3">
      <c r="C23">
        <v>5.7015093985910204E-2</v>
      </c>
      <c r="D23">
        <v>1.6289247553002151E-2</v>
      </c>
      <c r="E23">
        <v>-3.9021917159452941E-4</v>
      </c>
      <c r="H23">
        <v>-4.74829092360112E-2</v>
      </c>
      <c r="I23">
        <v>2.0034618894120185E-2</v>
      </c>
      <c r="J23">
        <v>-2.6791681697223346E-2</v>
      </c>
      <c r="K23">
        <v>9.0954550470356457E-2</v>
      </c>
      <c r="L23">
        <v>9.6217703564743698E-2</v>
      </c>
      <c r="M23">
        <v>4.2267500230730559E-2</v>
      </c>
      <c r="N23">
        <v>4.6669480216516269E-2</v>
      </c>
      <c r="O23">
        <v>8.9093800822074076E-2</v>
      </c>
      <c r="P23">
        <v>-2.4027469952038194E-2</v>
      </c>
      <c r="Q23">
        <v>-9.7621267063769335E-2</v>
      </c>
      <c r="R23">
        <v>4.9172264776908392E-2</v>
      </c>
      <c r="S23">
        <v>0.13601044762310788</v>
      </c>
      <c r="T23">
        <v>2.2666195441313805E-2</v>
      </c>
      <c r="U23">
        <v>-2.5530677972749466E-2</v>
      </c>
      <c r="V23">
        <v>2.8800133088580371E-2</v>
      </c>
      <c r="W23">
        <v>-8.2902507641423095E-2</v>
      </c>
      <c r="X23">
        <v>7.6706744985017228E-2</v>
      </c>
      <c r="Y23">
        <v>0.11953089620644738</v>
      </c>
      <c r="Z23">
        <v>9.1834946467513598E-2</v>
      </c>
      <c r="AA23">
        <v>3.3463540259159097E-2</v>
      </c>
      <c r="AB23">
        <v>0.16527688549269759</v>
      </c>
      <c r="AC23">
        <v>0.1644580013723973</v>
      </c>
      <c r="AD23">
        <v>2.8019694745391316E-2</v>
      </c>
      <c r="AE23">
        <v>-6.0460099552598762E-2</v>
      </c>
      <c r="AF23">
        <v>6.3639208458739396E-2</v>
      </c>
      <c r="AI23">
        <f>AB23</f>
        <v>0.16527688549269759</v>
      </c>
      <c r="AJ23">
        <f t="shared" si="0"/>
        <v>0.83472311450730241</v>
      </c>
      <c r="AK23">
        <f>'Regression Stat Calculations'!L22</f>
        <v>2.6141789270614275</v>
      </c>
      <c r="AL23">
        <f t="shared" si="1"/>
        <v>9.8081192915785742</v>
      </c>
    </row>
    <row r="24" spans="3:38" x14ac:dyDescent="0.3">
      <c r="C24">
        <v>-7.022301955048893E-2</v>
      </c>
      <c r="D24">
        <v>2.8125532202850412E-2</v>
      </c>
      <c r="E24">
        <v>-3.3267357932584242E-4</v>
      </c>
      <c r="H24">
        <v>-5.9641498553007793E-2</v>
      </c>
      <c r="I24">
        <v>-5.9034610393623024E-2</v>
      </c>
      <c r="J24">
        <v>-9.8955439912724111E-2</v>
      </c>
      <c r="K24">
        <v>1.5665222914845324E-2</v>
      </c>
      <c r="L24">
        <v>4.8629136767737176E-2</v>
      </c>
      <c r="M24">
        <v>1.6873424691935951E-2</v>
      </c>
      <c r="N24">
        <v>-5.0566048870630771E-2</v>
      </c>
      <c r="O24">
        <v>5.6794254211037051E-2</v>
      </c>
      <c r="P24">
        <v>0.28783952071929347</v>
      </c>
      <c r="Q24">
        <v>-0.13086287402837155</v>
      </c>
      <c r="R24">
        <v>0.15090607311893808</v>
      </c>
      <c r="S24">
        <v>0.13950748292295906</v>
      </c>
      <c r="T24">
        <v>-4.2552653467177098E-2</v>
      </c>
      <c r="U24">
        <v>-5.5165019981925661E-2</v>
      </c>
      <c r="V24">
        <v>3.3869006737187374E-2</v>
      </c>
      <c r="W24">
        <v>-4.712239507883853E-2</v>
      </c>
      <c r="X24">
        <v>3.1995457801445054E-2</v>
      </c>
      <c r="Y24">
        <v>8.2742793398452752E-2</v>
      </c>
      <c r="Z24">
        <v>2.1773282023319785E-3</v>
      </c>
      <c r="AA24">
        <v>0.15175237181706941</v>
      </c>
      <c r="AB24">
        <v>0.16445800137239724</v>
      </c>
      <c r="AC24">
        <v>0.3915752184696894</v>
      </c>
      <c r="AD24">
        <v>3.3203659578535688E-2</v>
      </c>
      <c r="AE24">
        <v>-5.6466484799595568E-2</v>
      </c>
      <c r="AF24">
        <v>-7.6219276379636478E-3</v>
      </c>
      <c r="AI24">
        <f>AC24</f>
        <v>0.3915752184696894</v>
      </c>
      <c r="AJ24">
        <f t="shared" si="0"/>
        <v>0.60842478153031054</v>
      </c>
      <c r="AK24">
        <f>'Regression Stat Calculations'!L23</f>
        <v>3.6865278880266104</v>
      </c>
      <c r="AL24">
        <f t="shared" si="1"/>
        <v>36.71311693605449</v>
      </c>
    </row>
    <row r="25" spans="3:38" x14ac:dyDescent="0.3">
      <c r="C25">
        <v>3.5525190580961506E-2</v>
      </c>
      <c r="D25">
        <v>-1.2902325754422239E-3</v>
      </c>
      <c r="E25">
        <v>3.8548785134656844E-5</v>
      </c>
      <c r="H25">
        <v>4.8080882228273773E-2</v>
      </c>
      <c r="I25">
        <v>4.0135225584259339E-2</v>
      </c>
      <c r="J25">
        <v>4.4761079800418158E-2</v>
      </c>
      <c r="K25">
        <v>3.3448163089965156E-2</v>
      </c>
      <c r="L25">
        <v>3.3566112898506688E-2</v>
      </c>
      <c r="M25">
        <v>3.9214661647302695E-2</v>
      </c>
      <c r="N25">
        <v>3.7185091794889311E-2</v>
      </c>
      <c r="O25">
        <v>3.4588807431143877E-2</v>
      </c>
      <c r="P25">
        <v>5.3099439614293781E-2</v>
      </c>
      <c r="Q25">
        <v>5.2396042710217777E-2</v>
      </c>
      <c r="R25">
        <v>4.1403033546529834E-2</v>
      </c>
      <c r="S25">
        <v>3.0910853630490488E-2</v>
      </c>
      <c r="T25">
        <v>4.0194200488530105E-2</v>
      </c>
      <c r="U25">
        <v>4.5593333860519628E-2</v>
      </c>
      <c r="V25">
        <v>4.1182953142307757E-2</v>
      </c>
      <c r="W25">
        <v>5.2536722091032981E-2</v>
      </c>
      <c r="X25">
        <v>3.5493552155239534E-2</v>
      </c>
      <c r="Y25">
        <v>3.158200219064064E-2</v>
      </c>
      <c r="Z25">
        <v>3.3042249119482482E-2</v>
      </c>
      <c r="AA25">
        <v>4.3273801352129465E-2</v>
      </c>
      <c r="AB25">
        <v>2.8019694745391226E-2</v>
      </c>
      <c r="AC25">
        <v>3.320365957853573E-2</v>
      </c>
      <c r="AD25">
        <v>4.1260050712577073E-2</v>
      </c>
      <c r="AE25">
        <v>4.9681808537930812E-2</v>
      </c>
      <c r="AF25">
        <v>3.6146578049391136E-2</v>
      </c>
      <c r="AI25">
        <f>AD25</f>
        <v>4.1260050712577073E-2</v>
      </c>
      <c r="AJ25">
        <f t="shared" si="0"/>
        <v>0.9587399492874229</v>
      </c>
      <c r="AK25">
        <f>'Regression Stat Calculations'!L24</f>
        <v>4.6075678556720661</v>
      </c>
      <c r="AL25">
        <f t="shared" si="1"/>
        <v>23.09626911579846</v>
      </c>
    </row>
    <row r="26" spans="3:38" x14ac:dyDescent="0.3">
      <c r="C26">
        <v>2.4494358401935951E-2</v>
      </c>
      <c r="D26">
        <v>-1.2887576882277773E-2</v>
      </c>
      <c r="E26">
        <v>3.137236490588773E-4</v>
      </c>
      <c r="H26">
        <v>0.10996656369896284</v>
      </c>
      <c r="I26">
        <v>5.4850830548055646E-2</v>
      </c>
      <c r="J26">
        <v>9.2497668435120917E-2</v>
      </c>
      <c r="K26">
        <v>-1.9580572024649572E-3</v>
      </c>
      <c r="L26">
        <v>-5.7725555328990846E-3</v>
      </c>
      <c r="M26">
        <v>3.7810124415421059E-2</v>
      </c>
      <c r="N26">
        <v>3.322880603385691E-2</v>
      </c>
      <c r="O26">
        <v>1.632865283557744E-4</v>
      </c>
      <c r="P26">
        <v>9.5903579559563579E-2</v>
      </c>
      <c r="Q26">
        <v>0.14985928167116785</v>
      </c>
      <c r="R26">
        <v>3.413499883799917E-2</v>
      </c>
      <c r="S26">
        <v>-3.6930825873183165E-2</v>
      </c>
      <c r="T26">
        <v>5.294358138283857E-2</v>
      </c>
      <c r="U26">
        <v>9.2109222973470628E-2</v>
      </c>
      <c r="V26">
        <v>4.9054361239813035E-2</v>
      </c>
      <c r="W26">
        <v>0.139068141248847</v>
      </c>
      <c r="X26">
        <v>9.9136269200447852E-3</v>
      </c>
      <c r="Y26">
        <v>-2.430715809823665E-2</v>
      </c>
      <c r="Z26">
        <v>-2.8743208787777828E-3</v>
      </c>
      <c r="AA26">
        <v>4.6972761178549344E-2</v>
      </c>
      <c r="AB26">
        <v>-6.0460099552598963E-2</v>
      </c>
      <c r="AC26">
        <v>-5.6466484799595484E-2</v>
      </c>
      <c r="AD26">
        <v>4.9681808537930763E-2</v>
      </c>
      <c r="AE26">
        <v>0.12060826049610085</v>
      </c>
      <c r="AF26">
        <v>2.0002598231656454E-2</v>
      </c>
      <c r="AI26">
        <f>AE26</f>
        <v>0.12060826049610085</v>
      </c>
      <c r="AJ26">
        <f t="shared" si="0"/>
        <v>0.87939173950389915</v>
      </c>
      <c r="AK26">
        <f>'Regression Stat Calculations'!L25</f>
        <v>4.572853502339207</v>
      </c>
      <c r="AL26">
        <f t="shared" si="1"/>
        <v>27.040194625736373</v>
      </c>
    </row>
    <row r="27" spans="3:38" x14ac:dyDescent="0.3">
      <c r="C27">
        <v>8.2869927699880497E-2</v>
      </c>
      <c r="D27">
        <v>-6.520230578534042E-4</v>
      </c>
      <c r="E27">
        <v>-9.0789204732908145E-5</v>
      </c>
      <c r="H27">
        <v>2.7463811644478107E-2</v>
      </c>
      <c r="I27">
        <v>6.0940233485080493E-2</v>
      </c>
      <c r="J27">
        <v>5.0045528917131515E-2</v>
      </c>
      <c r="K27">
        <v>7.2998699089834224E-2</v>
      </c>
      <c r="L27">
        <v>6.5339408642823851E-2</v>
      </c>
      <c r="M27">
        <v>4.8345328733046977E-2</v>
      </c>
      <c r="N27">
        <v>7.1579069063553796E-2</v>
      </c>
      <c r="O27">
        <v>5.9240033300995962E-2</v>
      </c>
      <c r="P27">
        <v>-6.9243002945767518E-2</v>
      </c>
      <c r="Q27">
        <v>2.4682343547204048E-2</v>
      </c>
      <c r="R27">
        <v>9.9745859179852236E-3</v>
      </c>
      <c r="S27">
        <v>5.6830018103771203E-2</v>
      </c>
      <c r="T27">
        <v>5.7110588261575307E-2</v>
      </c>
      <c r="U27">
        <v>3.7013176766156508E-2</v>
      </c>
      <c r="V27">
        <v>3.6328156458857008E-2</v>
      </c>
      <c r="W27">
        <v>5.8972742486097379E-3</v>
      </c>
      <c r="X27">
        <v>6.0799948406178445E-2</v>
      </c>
      <c r="Y27">
        <v>6.6321591270162794E-2</v>
      </c>
      <c r="Z27">
        <v>7.764544715593559E-2</v>
      </c>
      <c r="AA27">
        <v>1.8778480720333529E-3</v>
      </c>
      <c r="AB27">
        <v>6.3639208458739313E-2</v>
      </c>
      <c r="AC27">
        <v>-7.6219276379636131E-3</v>
      </c>
      <c r="AD27">
        <v>3.6146578049391191E-2</v>
      </c>
      <c r="AE27">
        <v>2.0002598231656593E-2</v>
      </c>
      <c r="AF27">
        <v>6.664345475853066E-2</v>
      </c>
      <c r="AI27">
        <f>AF27</f>
        <v>6.664345475853066E-2</v>
      </c>
      <c r="AJ27">
        <f t="shared" si="0"/>
        <v>0.93335654524146938</v>
      </c>
      <c r="AK27">
        <f>'Regression Stat Calculations'!L26</f>
        <v>0.21258392596140396</v>
      </c>
      <c r="AL27">
        <f t="shared" si="1"/>
        <v>5.187590566477121E-2</v>
      </c>
    </row>
    <row r="28" spans="3:38" x14ac:dyDescent="0.3">
      <c r="AK28" s="26" t="s">
        <v>19</v>
      </c>
      <c r="AL28" s="26">
        <f>SUM(AL3:AL27)</f>
        <v>459.03931470254616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3D49-B152-4D78-915C-68C4101466C1}">
  <sheetPr codeName="Sheet3"/>
  <dimension ref="A1:D26"/>
  <sheetViews>
    <sheetView workbookViewId="0"/>
  </sheetViews>
  <sheetFormatPr defaultColWidth="9.109375" defaultRowHeight="14.4" x14ac:dyDescent="0.3"/>
  <cols>
    <col min="1" max="4" width="9.109375" style="3"/>
    <col min="5" max="16384" width="9.109375" style="2"/>
  </cols>
  <sheetData>
    <row r="1" spans="1:4" x14ac:dyDescent="0.3">
      <c r="A1" s="3" t="s">
        <v>7</v>
      </c>
      <c r="B1" s="3" t="s">
        <v>0</v>
      </c>
      <c r="C1" s="3" t="s">
        <v>1</v>
      </c>
      <c r="D1" s="3" t="s">
        <v>2</v>
      </c>
    </row>
    <row r="2" spans="1:4" x14ac:dyDescent="0.3">
      <c r="A2" s="3">
        <v>1</v>
      </c>
      <c r="B2" s="3">
        <v>7</v>
      </c>
      <c r="C2" s="3">
        <v>560</v>
      </c>
      <c r="D2" s="3">
        <v>16.68</v>
      </c>
    </row>
    <row r="3" spans="1:4" x14ac:dyDescent="0.3">
      <c r="A3" s="3">
        <v>2</v>
      </c>
      <c r="B3" s="3">
        <v>3</v>
      </c>
      <c r="C3" s="3">
        <v>220</v>
      </c>
      <c r="D3" s="3">
        <v>11.5</v>
      </c>
    </row>
    <row r="4" spans="1:4" x14ac:dyDescent="0.3">
      <c r="A4" s="3">
        <v>3</v>
      </c>
      <c r="B4" s="3">
        <v>3</v>
      </c>
      <c r="C4" s="3">
        <v>340</v>
      </c>
      <c r="D4" s="3">
        <v>12.03</v>
      </c>
    </row>
    <row r="5" spans="1:4" x14ac:dyDescent="0.3">
      <c r="A5" s="3">
        <v>4</v>
      </c>
      <c r="B5" s="3">
        <v>4</v>
      </c>
      <c r="C5" s="3">
        <v>80</v>
      </c>
      <c r="D5" s="3">
        <v>14.88</v>
      </c>
    </row>
    <row r="6" spans="1:4" x14ac:dyDescent="0.3">
      <c r="A6" s="3">
        <v>5</v>
      </c>
      <c r="B6" s="3">
        <v>6</v>
      </c>
      <c r="C6" s="3">
        <v>150</v>
      </c>
      <c r="D6" s="3">
        <v>13.75</v>
      </c>
    </row>
    <row r="7" spans="1:4" x14ac:dyDescent="0.3">
      <c r="A7" s="3">
        <v>6</v>
      </c>
      <c r="B7" s="3">
        <v>7</v>
      </c>
      <c r="C7" s="3">
        <v>330</v>
      </c>
      <c r="D7" s="3">
        <v>18.11</v>
      </c>
    </row>
    <row r="8" spans="1:4" x14ac:dyDescent="0.3">
      <c r="A8" s="3">
        <v>7</v>
      </c>
      <c r="B8" s="3">
        <v>2</v>
      </c>
      <c r="C8" s="3">
        <v>110</v>
      </c>
      <c r="D8" s="3">
        <v>8</v>
      </c>
    </row>
    <row r="9" spans="1:4" x14ac:dyDescent="0.3">
      <c r="A9" s="3">
        <v>8</v>
      </c>
      <c r="B9" s="3">
        <v>7</v>
      </c>
      <c r="C9" s="3">
        <v>210</v>
      </c>
      <c r="D9" s="3">
        <v>17.829999999999998</v>
      </c>
    </row>
    <row r="10" spans="1:4" x14ac:dyDescent="0.3">
      <c r="A10" s="3">
        <v>9</v>
      </c>
      <c r="B10" s="3">
        <v>30</v>
      </c>
      <c r="C10" s="3">
        <v>1460</v>
      </c>
      <c r="D10" s="3">
        <v>79.239999999999995</v>
      </c>
    </row>
    <row r="11" spans="1:4" x14ac:dyDescent="0.3">
      <c r="A11" s="3">
        <v>10</v>
      </c>
      <c r="B11" s="3">
        <v>5</v>
      </c>
      <c r="C11" s="3">
        <v>605</v>
      </c>
      <c r="D11" s="3">
        <v>21.5</v>
      </c>
    </row>
    <row r="12" spans="1:4" x14ac:dyDescent="0.3">
      <c r="A12" s="3">
        <v>11</v>
      </c>
      <c r="B12" s="3">
        <v>16</v>
      </c>
      <c r="C12" s="3">
        <v>688</v>
      </c>
      <c r="D12" s="3">
        <v>40.33</v>
      </c>
    </row>
    <row r="13" spans="1:4" x14ac:dyDescent="0.3">
      <c r="A13" s="3">
        <v>12</v>
      </c>
      <c r="B13" s="3">
        <v>10</v>
      </c>
      <c r="C13" s="3">
        <v>215</v>
      </c>
      <c r="D13" s="3">
        <v>21</v>
      </c>
    </row>
    <row r="14" spans="1:4" x14ac:dyDescent="0.3">
      <c r="A14" s="3">
        <v>13</v>
      </c>
      <c r="B14" s="3">
        <v>4</v>
      </c>
      <c r="C14" s="3">
        <v>255</v>
      </c>
      <c r="D14" s="3">
        <v>13.5</v>
      </c>
    </row>
    <row r="15" spans="1:4" x14ac:dyDescent="0.3">
      <c r="A15" s="3">
        <v>14</v>
      </c>
      <c r="B15" s="3">
        <v>6</v>
      </c>
      <c r="C15" s="3">
        <v>462</v>
      </c>
      <c r="D15" s="3">
        <v>19.75</v>
      </c>
    </row>
    <row r="16" spans="1:4" x14ac:dyDescent="0.3">
      <c r="A16" s="3">
        <v>15</v>
      </c>
      <c r="B16" s="3">
        <v>9</v>
      </c>
      <c r="C16" s="3">
        <v>448</v>
      </c>
      <c r="D16" s="3">
        <v>24</v>
      </c>
    </row>
    <row r="17" spans="1:4" x14ac:dyDescent="0.3">
      <c r="A17" s="3">
        <v>16</v>
      </c>
      <c r="B17" s="3">
        <v>10</v>
      </c>
      <c r="C17" s="3">
        <v>776</v>
      </c>
      <c r="D17" s="3">
        <v>29</v>
      </c>
    </row>
    <row r="18" spans="1:4" x14ac:dyDescent="0.3">
      <c r="A18" s="3">
        <v>17</v>
      </c>
      <c r="B18" s="3">
        <v>6</v>
      </c>
      <c r="C18" s="3">
        <v>200</v>
      </c>
      <c r="D18" s="3">
        <v>15.35</v>
      </c>
    </row>
    <row r="19" spans="1:4" x14ac:dyDescent="0.3">
      <c r="A19" s="3">
        <v>18</v>
      </c>
      <c r="B19" s="3">
        <v>7</v>
      </c>
      <c r="C19" s="3">
        <v>132</v>
      </c>
      <c r="D19" s="3">
        <v>19</v>
      </c>
    </row>
    <row r="20" spans="1:4" x14ac:dyDescent="0.3">
      <c r="A20" s="3">
        <v>19</v>
      </c>
      <c r="B20" s="3">
        <v>3</v>
      </c>
      <c r="C20" s="3">
        <v>36</v>
      </c>
      <c r="D20" s="3">
        <v>9.5</v>
      </c>
    </row>
    <row r="21" spans="1:4" x14ac:dyDescent="0.3">
      <c r="A21" s="3">
        <v>20</v>
      </c>
      <c r="B21" s="3">
        <v>17</v>
      </c>
      <c r="C21" s="3">
        <v>770</v>
      </c>
      <c r="D21" s="3">
        <v>35.1</v>
      </c>
    </row>
    <row r="22" spans="1:4" x14ac:dyDescent="0.3">
      <c r="A22" s="3">
        <v>21</v>
      </c>
      <c r="B22" s="3">
        <v>10</v>
      </c>
      <c r="C22" s="3">
        <v>140</v>
      </c>
      <c r="D22" s="3">
        <v>17.899999999999999</v>
      </c>
    </row>
    <row r="23" spans="1:4" x14ac:dyDescent="0.3">
      <c r="A23" s="3">
        <v>22</v>
      </c>
      <c r="B23" s="3">
        <v>26</v>
      </c>
      <c r="C23" s="3">
        <v>810</v>
      </c>
      <c r="D23" s="3">
        <v>52.32</v>
      </c>
    </row>
    <row r="24" spans="1:4" x14ac:dyDescent="0.3">
      <c r="A24" s="3">
        <v>23</v>
      </c>
      <c r="B24" s="3">
        <v>9</v>
      </c>
      <c r="C24" s="3">
        <v>450</v>
      </c>
      <c r="D24" s="3">
        <v>18.75</v>
      </c>
    </row>
    <row r="25" spans="1:4" x14ac:dyDescent="0.3">
      <c r="A25" s="3">
        <v>24</v>
      </c>
      <c r="B25" s="3">
        <v>8</v>
      </c>
      <c r="C25" s="3">
        <v>635</v>
      </c>
      <c r="D25" s="3">
        <v>19.829999999999998</v>
      </c>
    </row>
    <row r="26" spans="1:4" x14ac:dyDescent="0.3">
      <c r="A26" s="3">
        <v>25</v>
      </c>
      <c r="B26" s="3">
        <v>4</v>
      </c>
      <c r="C26" s="3">
        <v>150</v>
      </c>
      <c r="D26" s="3">
        <v>10.75</v>
      </c>
    </row>
  </sheetData>
  <sheetProtection sheet="1" objects="1" scenarios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5E7E-49CE-4DE1-AE68-09D37C530AAD}">
  <sheetPr codeName="Sheet5"/>
  <dimension ref="A1:Q33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22.33203125" style="2" bestFit="1" customWidth="1"/>
    <col min="2" max="7" width="9.109375" style="2"/>
    <col min="8" max="8" width="12" style="2" bestFit="1" customWidth="1"/>
    <col min="9" max="10" width="9.109375" style="2"/>
    <col min="11" max="11" width="12" style="2" bestFit="1" customWidth="1"/>
    <col min="12" max="16" width="9.109375" style="2"/>
    <col min="17" max="17" width="18.88671875" style="2" bestFit="1" customWidth="1"/>
    <col min="18" max="16384" width="9.109375" style="2"/>
  </cols>
  <sheetData>
    <row r="1" spans="1:17" x14ac:dyDescent="0.3">
      <c r="A1" s="21" t="s">
        <v>8</v>
      </c>
      <c r="B1" s="21"/>
      <c r="C1" s="21"/>
      <c r="D1" s="21"/>
      <c r="E1" s="21"/>
      <c r="F1" s="21"/>
      <c r="G1" s="21"/>
      <c r="H1" s="3"/>
      <c r="I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Q2" s="23"/>
    </row>
    <row r="3" spans="1:17" x14ac:dyDescent="0.3">
      <c r="A3" s="7" t="s">
        <v>9</v>
      </c>
      <c r="B3" s="3"/>
      <c r="C3" s="3"/>
      <c r="D3" s="3"/>
      <c r="E3" s="3"/>
      <c r="F3" s="3"/>
      <c r="G3" s="3"/>
      <c r="H3" s="3"/>
      <c r="I3" s="3"/>
      <c r="Q3" s="23"/>
    </row>
    <row r="4" spans="1:17" x14ac:dyDescent="0.3">
      <c r="A4" s="3" t="s">
        <v>10</v>
      </c>
      <c r="B4" s="3"/>
      <c r="C4" s="3"/>
      <c r="D4" s="3"/>
      <c r="E4" s="3"/>
      <c r="F4" s="3"/>
      <c r="G4" s="3"/>
      <c r="H4" s="3"/>
      <c r="I4" s="3"/>
      <c r="Q4" s="2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</row>
    <row r="6" spans="1:17" x14ac:dyDescent="0.3">
      <c r="A6" s="21" t="s">
        <v>11</v>
      </c>
      <c r="B6" s="21"/>
      <c r="C6" s="21"/>
      <c r="D6" s="21"/>
      <c r="E6" s="21"/>
      <c r="F6" s="21"/>
      <c r="G6" s="3"/>
      <c r="H6" s="3"/>
      <c r="I6" s="3"/>
    </row>
    <row r="7" spans="1:17" x14ac:dyDescent="0.3">
      <c r="A7" s="8" t="s">
        <v>88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3"/>
      <c r="H7" s="3"/>
      <c r="I7" s="3"/>
    </row>
    <row r="8" spans="1:17" x14ac:dyDescent="0.3">
      <c r="A8" s="3" t="s">
        <v>17</v>
      </c>
      <c r="B8" s="3">
        <v>2</v>
      </c>
      <c r="C8" s="9">
        <v>5550.8109225793978</v>
      </c>
      <c r="D8" s="9">
        <v>2775.4054612896989</v>
      </c>
      <c r="E8" s="10">
        <v>261.23510866056114</v>
      </c>
      <c r="F8" s="11">
        <v>4.6874222077502201E-16</v>
      </c>
      <c r="G8" s="3"/>
      <c r="H8" s="3"/>
      <c r="I8" s="3"/>
    </row>
    <row r="9" spans="1:17" x14ac:dyDescent="0.3">
      <c r="A9" s="3" t="s">
        <v>18</v>
      </c>
      <c r="B9" s="3">
        <v>22</v>
      </c>
      <c r="C9" s="9">
        <v>233.73167742055296</v>
      </c>
      <c r="D9" s="10">
        <v>10.624167155479681</v>
      </c>
      <c r="E9" s="3"/>
      <c r="F9" s="3"/>
      <c r="G9" s="3"/>
      <c r="H9" s="3"/>
      <c r="I9" s="3"/>
    </row>
    <row r="10" spans="1:17" x14ac:dyDescent="0.3">
      <c r="A10" s="3" t="s">
        <v>19</v>
      </c>
      <c r="B10" s="3">
        <v>24</v>
      </c>
      <c r="C10" s="9">
        <v>5784.5425999999952</v>
      </c>
      <c r="D10" s="3"/>
      <c r="E10" s="3"/>
      <c r="F10" s="3"/>
      <c r="G10" s="3"/>
      <c r="H10" s="3"/>
      <c r="I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17" x14ac:dyDescent="0.3">
      <c r="A12" s="21" t="s">
        <v>20</v>
      </c>
      <c r="B12" s="21"/>
      <c r="C12" s="21"/>
      <c r="D12" s="21"/>
      <c r="E12" s="21"/>
      <c r="F12" s="21"/>
      <c r="G12" s="21"/>
      <c r="H12" s="21"/>
      <c r="I12" s="21"/>
    </row>
    <row r="13" spans="1:17" ht="28.8" x14ac:dyDescent="0.3">
      <c r="A13" s="12"/>
      <c r="B13" s="12" t="s">
        <v>21</v>
      </c>
      <c r="C13" s="12" t="s">
        <v>22</v>
      </c>
      <c r="D13" s="12" t="s">
        <v>23</v>
      </c>
      <c r="E13" s="12" t="s">
        <v>24</v>
      </c>
      <c r="F13" s="12" t="s">
        <v>25</v>
      </c>
      <c r="G13" s="12" t="s">
        <v>26</v>
      </c>
      <c r="H13" s="12" t="s">
        <v>27</v>
      </c>
      <c r="I13" s="12" t="s">
        <v>28</v>
      </c>
    </row>
    <row r="14" spans="1:17" x14ac:dyDescent="0.3">
      <c r="A14" s="3" t="s">
        <v>29</v>
      </c>
      <c r="B14" s="13">
        <v>2.3412311451921965</v>
      </c>
      <c r="C14" s="13">
        <v>1.096730168180104</v>
      </c>
      <c r="D14" s="13">
        <v>2.1347376165253089</v>
      </c>
      <c r="E14" s="11">
        <v>4.4170124156750215E-2</v>
      </c>
      <c r="F14" s="14">
        <v>6.6751986645626094E-2</v>
      </c>
      <c r="G14" s="13">
        <v>4.6157103037387675</v>
      </c>
      <c r="H14" s="13"/>
      <c r="I14" s="13"/>
    </row>
    <row r="15" spans="1:17" x14ac:dyDescent="0.3">
      <c r="A15" s="3" t="s">
        <v>0</v>
      </c>
      <c r="B15" s="13">
        <v>1.61590721060925</v>
      </c>
      <c r="C15" s="13">
        <v>0.17073491828108886</v>
      </c>
      <c r="D15" s="13">
        <v>9.4644213783434221</v>
      </c>
      <c r="E15" s="11">
        <v>3.2549315736656776E-9</v>
      </c>
      <c r="F15" s="13">
        <v>1.2618246618353095</v>
      </c>
      <c r="G15" s="13">
        <v>1.9699897593831994</v>
      </c>
      <c r="H15" s="13">
        <v>3.1184743370535624</v>
      </c>
      <c r="I15" s="13">
        <v>0.71627219194103064</v>
      </c>
    </row>
    <row r="16" spans="1:17" x14ac:dyDescent="0.3">
      <c r="A16" s="3" t="s">
        <v>1</v>
      </c>
      <c r="B16" s="14">
        <v>1.4384826255548044E-2</v>
      </c>
      <c r="C16" s="15">
        <v>3.6130858743041953E-3</v>
      </c>
      <c r="D16" s="13">
        <v>3.9813131367430508</v>
      </c>
      <c r="E16" s="11">
        <v>6.3124686224288096E-4</v>
      </c>
      <c r="F16" s="15">
        <v>6.8917447688041037E-3</v>
      </c>
      <c r="G16" s="14">
        <v>2.1877907742291987E-2</v>
      </c>
      <c r="H16" s="13">
        <v>3.1184743370535637</v>
      </c>
      <c r="I16" s="13">
        <v>0.30130778980148465</v>
      </c>
    </row>
    <row r="17" spans="1:9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21" t="s">
        <v>30</v>
      </c>
      <c r="B18" s="21"/>
      <c r="C18" s="3"/>
      <c r="D18" s="3"/>
      <c r="E18" s="3"/>
      <c r="F18" s="3"/>
      <c r="G18" s="3"/>
      <c r="H18" s="3"/>
      <c r="I18" s="3"/>
    </row>
    <row r="19" spans="1:9" x14ac:dyDescent="0.3">
      <c r="A19" s="3" t="s">
        <v>31</v>
      </c>
      <c r="B19" s="16">
        <v>0.95959374948322562</v>
      </c>
      <c r="C19" s="3"/>
      <c r="D19" s="3"/>
      <c r="E19" s="3"/>
      <c r="F19" s="3"/>
      <c r="G19" s="3"/>
      <c r="H19" s="3"/>
      <c r="I19" s="3"/>
    </row>
    <row r="20" spans="1:9" x14ac:dyDescent="0.3">
      <c r="A20" s="3" t="s">
        <v>32</v>
      </c>
      <c r="B20" s="16">
        <v>0.95592045398170067</v>
      </c>
      <c r="C20" s="3"/>
      <c r="D20" s="3"/>
      <c r="E20" s="3"/>
      <c r="F20" s="3"/>
      <c r="G20" s="3"/>
      <c r="H20" s="3"/>
      <c r="I20" s="3"/>
    </row>
    <row r="21" spans="1:9" x14ac:dyDescent="0.3">
      <c r="A21" s="3" t="s">
        <v>33</v>
      </c>
      <c r="B21" s="10">
        <v>22.384</v>
      </c>
      <c r="C21" s="3"/>
      <c r="D21" s="3"/>
      <c r="E21" s="3"/>
      <c r="F21" s="3"/>
      <c r="G21" s="3"/>
      <c r="H21" s="3"/>
      <c r="I21" s="3"/>
    </row>
    <row r="22" spans="1:9" x14ac:dyDescent="0.3">
      <c r="A22" s="3" t="s">
        <v>22</v>
      </c>
      <c r="B22" s="13">
        <v>3.2594734475800964</v>
      </c>
      <c r="C22" s="3"/>
      <c r="D22" s="3"/>
      <c r="E22" s="3"/>
      <c r="F22" s="3"/>
      <c r="G22" s="3"/>
      <c r="H22" s="3"/>
      <c r="I22" s="3"/>
    </row>
    <row r="23" spans="1:9" x14ac:dyDescent="0.3">
      <c r="A23" s="3" t="s">
        <v>122</v>
      </c>
      <c r="B23" s="10">
        <v>14.561621906630167</v>
      </c>
      <c r="C23" s="3"/>
      <c r="D23" s="3"/>
      <c r="E23" s="3"/>
      <c r="F23" s="3"/>
      <c r="G23" s="3"/>
      <c r="H23" s="3"/>
      <c r="I23" s="3"/>
    </row>
    <row r="24" spans="1:9" x14ac:dyDescent="0.3">
      <c r="A24" s="3" t="s">
        <v>34</v>
      </c>
      <c r="B24" s="3">
        <v>25</v>
      </c>
      <c r="C24" s="3"/>
      <c r="D24" s="3"/>
      <c r="E24" s="3"/>
      <c r="F24" s="3"/>
      <c r="G24" s="3"/>
      <c r="H24" s="3"/>
      <c r="I24" s="3"/>
    </row>
    <row r="25" spans="1:9" x14ac:dyDescent="0.3">
      <c r="A25" s="3" t="s">
        <v>35</v>
      </c>
      <c r="B25" s="13">
        <v>1.1695672466185492</v>
      </c>
      <c r="C25" s="3"/>
      <c r="D25" s="3"/>
      <c r="E25" s="3"/>
      <c r="F25" s="3"/>
      <c r="G25" s="3"/>
      <c r="H25" s="3"/>
      <c r="I25" s="3"/>
    </row>
    <row r="26" spans="1:9" x14ac:dyDescent="0.3">
      <c r="A26" s="3" t="s">
        <v>36</v>
      </c>
      <c r="B26" s="9">
        <v>459.03931470254315</v>
      </c>
      <c r="C26" s="3"/>
      <c r="D26" s="3"/>
      <c r="E26" s="3"/>
      <c r="F26" s="3"/>
      <c r="G26" s="3"/>
      <c r="H26" s="3"/>
      <c r="I26" s="3"/>
    </row>
    <row r="27" spans="1:9" x14ac:dyDescent="0.3">
      <c r="A27" s="3" t="s">
        <v>37</v>
      </c>
      <c r="B27" s="16">
        <v>0.92064380082488395</v>
      </c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21" t="s">
        <v>38</v>
      </c>
      <c r="B29" s="21"/>
      <c r="C29" s="21"/>
      <c r="D29" s="21"/>
      <c r="E29" s="21"/>
      <c r="F29" s="21"/>
      <c r="G29" s="21"/>
      <c r="H29" s="3"/>
      <c r="I29" s="3"/>
    </row>
    <row r="30" spans="1:9" x14ac:dyDescent="0.3">
      <c r="A30" s="3"/>
      <c r="B30" s="3"/>
      <c r="C30" s="3"/>
      <c r="D30" s="22" t="s">
        <v>33</v>
      </c>
      <c r="E30" s="22"/>
      <c r="F30" s="22" t="s">
        <v>39</v>
      </c>
      <c r="G30" s="22"/>
      <c r="H30" s="3"/>
      <c r="I30" s="3"/>
    </row>
    <row r="31" spans="1:9" x14ac:dyDescent="0.3">
      <c r="A31" s="12" t="s">
        <v>40</v>
      </c>
      <c r="B31" s="12" t="s">
        <v>41</v>
      </c>
      <c r="C31" s="12" t="s">
        <v>42</v>
      </c>
      <c r="D31" s="12" t="s">
        <v>43</v>
      </c>
      <c r="E31" s="12" t="s">
        <v>44</v>
      </c>
      <c r="F31" s="12" t="s">
        <v>43</v>
      </c>
      <c r="G31" s="12" t="s">
        <v>44</v>
      </c>
      <c r="H31" s="3"/>
      <c r="I31" s="3"/>
    </row>
    <row r="32" spans="1:9" x14ac:dyDescent="0.3">
      <c r="A32" s="3" t="s">
        <v>0</v>
      </c>
      <c r="B32" s="2">
        <v>25</v>
      </c>
      <c r="C32" s="10">
        <v>44.177394035978253</v>
      </c>
      <c r="D32" s="10">
        <v>36.288701448338927</v>
      </c>
      <c r="E32" s="10">
        <v>52.066086623617579</v>
      </c>
      <c r="F32" s="10">
        <v>33.788675290317727</v>
      </c>
      <c r="G32" s="10">
        <v>54.566112781638779</v>
      </c>
      <c r="H32" s="3"/>
      <c r="I32" s="3"/>
    </row>
    <row r="33" spans="1:9" x14ac:dyDescent="0.3">
      <c r="A33" s="3" t="s">
        <v>1</v>
      </c>
      <c r="B33" s="2">
        <v>100</v>
      </c>
      <c r="C33" s="3"/>
      <c r="D33" s="3"/>
      <c r="E33" s="3"/>
      <c r="F33" s="3"/>
      <c r="G33" s="3"/>
      <c r="H33" s="3"/>
      <c r="I33" s="3"/>
    </row>
  </sheetData>
  <mergeCells count="7">
    <mergeCell ref="D30:E30"/>
    <mergeCell ref="F30:G30"/>
    <mergeCell ref="A1:G1"/>
    <mergeCell ref="A6:F6"/>
    <mergeCell ref="A12:I12"/>
    <mergeCell ref="A18:B18"/>
    <mergeCell ref="A29:G29"/>
  </mergeCells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predbutton">
              <controlPr locked="0" defaultSize="0" print="0" autoFill="0" autoPict="0" macro="[1]!PredictResult">
                <anchor moveWithCells="1" siz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342900</xdr:colOff>
                    <xdr:row>30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174D-F77C-4D52-8588-C15B8E324DF6}">
  <sheetPr codeName="Sheet6"/>
  <dimension ref="A1:Q37"/>
  <sheetViews>
    <sheetView workbookViewId="0"/>
  </sheetViews>
  <sheetFormatPr defaultColWidth="9.109375" defaultRowHeight="14.4" x14ac:dyDescent="0.3"/>
  <cols>
    <col min="1" max="1" width="9.109375" style="2"/>
    <col min="2" max="17" width="13.33203125" style="2" customWidth="1"/>
    <col min="18" max="16384" width="9.109375" style="2"/>
  </cols>
  <sheetData>
    <row r="1" spans="1:17" x14ac:dyDescent="0.3">
      <c r="A1" s="18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7" customFormat="1" ht="43.2" x14ac:dyDescent="0.3">
      <c r="A3" s="18"/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  <c r="G3" s="12" t="s">
        <v>51</v>
      </c>
      <c r="H3" s="12" t="s">
        <v>52</v>
      </c>
      <c r="I3" s="12" t="s">
        <v>53</v>
      </c>
      <c r="J3" s="12" t="s">
        <v>54</v>
      </c>
      <c r="K3" s="12" t="s">
        <v>55</v>
      </c>
      <c r="L3" s="12" t="s">
        <v>56</v>
      </c>
      <c r="M3" s="12" t="s">
        <v>57</v>
      </c>
      <c r="N3" s="12" t="s">
        <v>58</v>
      </c>
      <c r="O3" s="12" t="s">
        <v>59</v>
      </c>
      <c r="P3" s="12" t="s">
        <v>60</v>
      </c>
      <c r="Q3" s="5"/>
    </row>
    <row r="4" spans="1:17" x14ac:dyDescent="0.3">
      <c r="A4" s="3"/>
      <c r="B4" s="3">
        <v>1</v>
      </c>
      <c r="C4" s="3">
        <v>16.68</v>
      </c>
      <c r="D4" s="10">
        <v>21.708084322563884</v>
      </c>
      <c r="E4" s="13">
        <v>-5.0280843225638847</v>
      </c>
      <c r="F4" s="13">
        <v>-1.5426063146171181</v>
      </c>
      <c r="G4" s="13">
        <v>-1.6276799315692299</v>
      </c>
      <c r="H4" s="13">
        <v>-1.6956288107115829</v>
      </c>
      <c r="I4" s="13">
        <v>0.10180177638297215</v>
      </c>
      <c r="J4" s="13">
        <v>-0.57085047839974146</v>
      </c>
      <c r="K4" s="13">
        <v>0.10009212912583206</v>
      </c>
      <c r="L4" s="13">
        <v>1.0399803310724005</v>
      </c>
      <c r="M4" s="10">
        <v>19.551297122802922</v>
      </c>
      <c r="N4" s="10">
        <v>23.864871522324847</v>
      </c>
      <c r="O4" s="10">
        <v>14.612611296808971</v>
      </c>
      <c r="P4" s="10">
        <v>28.803557348318797</v>
      </c>
      <c r="Q4" s="6"/>
    </row>
    <row r="5" spans="1:17" x14ac:dyDescent="0.3">
      <c r="A5" s="3"/>
      <c r="B5" s="3">
        <v>2</v>
      </c>
      <c r="C5" s="3">
        <v>11.5</v>
      </c>
      <c r="D5" s="10">
        <v>10.353614553240529</v>
      </c>
      <c r="E5" s="13">
        <v>1.1463854467594707</v>
      </c>
      <c r="F5" s="13">
        <v>0.35170878523663757</v>
      </c>
      <c r="G5" s="13">
        <v>0.36484267432696466</v>
      </c>
      <c r="H5" s="13">
        <v>0.35753764025147483</v>
      </c>
      <c r="I5" s="14">
        <v>7.0701636860641306E-2</v>
      </c>
      <c r="J5" s="14">
        <v>9.8618619235489924E-2</v>
      </c>
      <c r="K5" s="15">
        <v>3.3757035668744461E-3</v>
      </c>
      <c r="L5" s="13">
        <v>0.86668679935342086</v>
      </c>
      <c r="M5" s="13">
        <v>8.556216141753529</v>
      </c>
      <c r="N5" s="10">
        <v>12.15101296472753</v>
      </c>
      <c r="O5" s="13">
        <v>3.3589989466629344</v>
      </c>
      <c r="P5" s="10">
        <v>17.348230159818122</v>
      </c>
      <c r="Q5" s="6"/>
    </row>
    <row r="6" spans="1:17" x14ac:dyDescent="0.3">
      <c r="A6" s="3"/>
      <c r="B6" s="3">
        <v>3</v>
      </c>
      <c r="C6" s="3">
        <v>12.03</v>
      </c>
      <c r="D6" s="10">
        <v>12.079793703906295</v>
      </c>
      <c r="E6" s="14">
        <v>-4.9793703906296116E-2</v>
      </c>
      <c r="F6" s="14">
        <v>-1.5276609767526728E-2</v>
      </c>
      <c r="G6" s="14">
        <v>-1.6091653607292873E-2</v>
      </c>
      <c r="H6" s="14">
        <v>-1.5721773604207068E-2</v>
      </c>
      <c r="I6" s="14">
        <v>9.8734764466351793E-2</v>
      </c>
      <c r="J6" s="15">
        <v>-5.2036763316962087E-3</v>
      </c>
      <c r="K6" s="19">
        <v>9.4557846087970498E-6</v>
      </c>
      <c r="L6" s="13">
        <v>1.0241946307940872</v>
      </c>
      <c r="M6" s="13">
        <v>9.9557440428105313</v>
      </c>
      <c r="N6" s="10">
        <v>14.20384336500206</v>
      </c>
      <c r="O6" s="13">
        <v>4.9942031571018939</v>
      </c>
      <c r="P6" s="10">
        <v>19.165384250710698</v>
      </c>
      <c r="Q6" s="6"/>
    </row>
    <row r="7" spans="1:17" x14ac:dyDescent="0.3">
      <c r="A7" s="3"/>
      <c r="B7" s="3">
        <v>4</v>
      </c>
      <c r="C7" s="3">
        <v>14.88</v>
      </c>
      <c r="D7" s="13">
        <v>9.955646088073058</v>
      </c>
      <c r="E7" s="13">
        <v>4.9243539119269428</v>
      </c>
      <c r="F7" s="13">
        <v>1.5107820300186492</v>
      </c>
      <c r="G7" s="13">
        <v>1.5797204025666072</v>
      </c>
      <c r="H7" s="13">
        <v>1.6391649085093831</v>
      </c>
      <c r="I7" s="14">
        <v>8.5374792659092535E-2</v>
      </c>
      <c r="J7" s="13">
        <v>0.50080181686348335</v>
      </c>
      <c r="K7" s="14">
        <v>7.7647181361986964E-2</v>
      </c>
      <c r="L7" s="13">
        <v>0.95238441192336754</v>
      </c>
      <c r="M7" s="13">
        <v>7.9805217058935725</v>
      </c>
      <c r="N7" s="10">
        <v>11.930770470252543</v>
      </c>
      <c r="O7" s="13">
        <v>2.9132656127477752</v>
      </c>
      <c r="P7" s="10">
        <v>16.998026563398341</v>
      </c>
      <c r="Q7" s="6"/>
    </row>
    <row r="8" spans="1:17" x14ac:dyDescent="0.3">
      <c r="A8" s="3"/>
      <c r="B8" s="3">
        <v>5</v>
      </c>
      <c r="C8" s="3">
        <v>13.75</v>
      </c>
      <c r="D8" s="10">
        <v>14.194398347179931</v>
      </c>
      <c r="E8" s="13">
        <v>-0.44439834717993065</v>
      </c>
      <c r="F8" s="13">
        <v>-0.13634053301150884</v>
      </c>
      <c r="G8" s="13">
        <v>-0.14176094024222416</v>
      </c>
      <c r="H8" s="13">
        <v>-0.13856493373442311</v>
      </c>
      <c r="I8" s="14">
        <v>7.5010495690535015E-2</v>
      </c>
      <c r="J8" s="14">
        <v>-3.9458988990792095E-2</v>
      </c>
      <c r="K8" s="20">
        <v>5.432217444897591E-4</v>
      </c>
      <c r="L8" s="13">
        <v>0.89270602363355434</v>
      </c>
      <c r="M8" s="10">
        <v>12.343039367210608</v>
      </c>
      <c r="N8" s="10">
        <v>16.045757327149254</v>
      </c>
      <c r="O8" s="13">
        <v>7.1857225445139292</v>
      </c>
      <c r="P8" s="10">
        <v>21.203074149845932</v>
      </c>
      <c r="Q8" s="6"/>
    </row>
    <row r="9" spans="1:17" x14ac:dyDescent="0.3">
      <c r="A9" s="3"/>
      <c r="B9" s="3">
        <v>6</v>
      </c>
      <c r="C9" s="3">
        <v>18.11</v>
      </c>
      <c r="D9" s="10">
        <v>18.399574283787832</v>
      </c>
      <c r="E9" s="13">
        <v>-0.28957428378783234</v>
      </c>
      <c r="F9" s="14">
        <v>-8.8840816912565609E-2</v>
      </c>
      <c r="G9" s="14">
        <v>-9.0808474936471914E-2</v>
      </c>
      <c r="H9" s="14">
        <v>-8.873727679598864E-2</v>
      </c>
      <c r="I9" s="14">
        <v>4.2866928481600383E-2</v>
      </c>
      <c r="J9" s="14">
        <v>-1.8779374324639431E-2</v>
      </c>
      <c r="K9" s="20">
        <v>1.2310666131132295E-4</v>
      </c>
      <c r="L9" s="13">
        <v>0.67485214205077193</v>
      </c>
      <c r="M9" s="10">
        <v>17.000016601571396</v>
      </c>
      <c r="N9" s="10">
        <v>19.799131966004268</v>
      </c>
      <c r="O9" s="10">
        <v>11.496475838885434</v>
      </c>
      <c r="P9" s="10">
        <v>25.302672728690229</v>
      </c>
      <c r="Q9" s="6"/>
    </row>
    <row r="10" spans="1:17" x14ac:dyDescent="0.3">
      <c r="A10" s="3"/>
      <c r="B10" s="3">
        <v>7</v>
      </c>
      <c r="C10" s="3">
        <v>8</v>
      </c>
      <c r="D10" s="13">
        <v>7.1553764545209901</v>
      </c>
      <c r="E10" s="13">
        <v>0.84462354547900986</v>
      </c>
      <c r="F10" s="13">
        <v>0.25912883140866716</v>
      </c>
      <c r="G10" s="13">
        <v>0.2704249628822914</v>
      </c>
      <c r="H10" s="13">
        <v>0.26464768654144494</v>
      </c>
      <c r="I10" s="14">
        <v>8.1798674268239058E-2</v>
      </c>
      <c r="J10" s="14">
        <v>7.89900296156969E-2</v>
      </c>
      <c r="K10" s="15">
        <v>2.1716040970644248E-3</v>
      </c>
      <c r="L10" s="13">
        <v>0.93222464488040979</v>
      </c>
      <c r="M10" s="13">
        <v>5.2220608702671134</v>
      </c>
      <c r="N10" s="13">
        <v>9.088692038774866</v>
      </c>
      <c r="O10" s="13">
        <v>0.12460725176075638</v>
      </c>
      <c r="P10" s="10">
        <v>14.186145657281223</v>
      </c>
      <c r="Q10" s="6"/>
    </row>
    <row r="11" spans="1:17" x14ac:dyDescent="0.3">
      <c r="A11" s="3"/>
      <c r="B11" s="3">
        <v>8</v>
      </c>
      <c r="C11" s="3">
        <v>17.829999999999998</v>
      </c>
      <c r="D11" s="10">
        <v>16.673395133122067</v>
      </c>
      <c r="E11" s="13">
        <v>1.156604866877931</v>
      </c>
      <c r="F11" s="13">
        <v>0.35484408309465426</v>
      </c>
      <c r="G11" s="13">
        <v>0.3667211783791462</v>
      </c>
      <c r="H11" s="13">
        <v>0.35938982537890568</v>
      </c>
      <c r="I11" s="14">
        <v>6.3725591367701118E-2</v>
      </c>
      <c r="J11" s="14">
        <v>9.3760764207500333E-2</v>
      </c>
      <c r="K11" s="15">
        <v>3.051135181982521E-3</v>
      </c>
      <c r="L11" s="13">
        <v>0.82281913855491329</v>
      </c>
      <c r="M11" s="10">
        <v>14.966972681917042</v>
      </c>
      <c r="N11" s="10">
        <v>18.379817584327093</v>
      </c>
      <c r="O11" s="13">
        <v>9.7016031098227913</v>
      </c>
      <c r="P11" s="10">
        <v>23.645187156421343</v>
      </c>
      <c r="Q11" s="6"/>
    </row>
    <row r="12" spans="1:17" x14ac:dyDescent="0.3">
      <c r="A12" s="3"/>
      <c r="B12" s="3">
        <v>9</v>
      </c>
      <c r="C12" s="3">
        <v>79.239999999999995</v>
      </c>
      <c r="D12" s="10">
        <v>71.82029379656997</v>
      </c>
      <c r="E12" s="13">
        <v>7.4197062034300245</v>
      </c>
      <c r="F12" s="13">
        <v>2.2763511722847674</v>
      </c>
      <c r="G12" s="13">
        <v>3.2137627839587002</v>
      </c>
      <c r="H12" s="13">
        <v>4.3107801187599222</v>
      </c>
      <c r="I12" s="13">
        <v>0.49829215912442815</v>
      </c>
      <c r="J12" s="13">
        <v>4.2960809267824187</v>
      </c>
      <c r="K12" s="13">
        <v>3.4193184111654595</v>
      </c>
      <c r="L12" s="13">
        <v>2.3008561864668557</v>
      </c>
      <c r="M12" s="10">
        <v>67.048610118336001</v>
      </c>
      <c r="N12" s="10">
        <v>76.59197747480394</v>
      </c>
      <c r="O12" s="10">
        <v>63.54605839024466</v>
      </c>
      <c r="P12" s="10">
        <v>80.094529202895274</v>
      </c>
      <c r="Q12" s="6"/>
    </row>
    <row r="13" spans="1:17" x14ac:dyDescent="0.3">
      <c r="A13" s="3"/>
      <c r="B13" s="3">
        <v>10</v>
      </c>
      <c r="C13" s="3">
        <v>21.5</v>
      </c>
      <c r="D13" s="10">
        <v>19.123587082845035</v>
      </c>
      <c r="E13" s="13">
        <v>2.3764129171549655</v>
      </c>
      <c r="F13" s="13">
        <v>0.72907877771462315</v>
      </c>
      <c r="G13" s="13">
        <v>0.81325431759074018</v>
      </c>
      <c r="H13" s="13">
        <v>0.80677584437060268</v>
      </c>
      <c r="I13" s="13">
        <v>0.19629594714900428</v>
      </c>
      <c r="J13" s="13">
        <v>0.39871307145597135</v>
      </c>
      <c r="K13" s="14">
        <v>5.3845160419267395E-2</v>
      </c>
      <c r="L13" s="13">
        <v>1.4441194391234495</v>
      </c>
      <c r="M13" s="10">
        <v>16.128666671210244</v>
      </c>
      <c r="N13" s="10">
        <v>22.118507494479825</v>
      </c>
      <c r="O13" s="10">
        <v>11.730106528587143</v>
      </c>
      <c r="P13" s="10">
        <v>26.517067637102926</v>
      </c>
      <c r="Q13" s="6"/>
    </row>
    <row r="14" spans="1:17" x14ac:dyDescent="0.3">
      <c r="A14" s="3"/>
      <c r="B14" s="3">
        <v>11</v>
      </c>
      <c r="C14" s="3">
        <v>40.33</v>
      </c>
      <c r="D14" s="10">
        <v>38.092506978757321</v>
      </c>
      <c r="E14" s="13">
        <v>2.2374930212426776</v>
      </c>
      <c r="F14" s="13">
        <v>0.68645842870842855</v>
      </c>
      <c r="G14" s="13">
        <v>0.71807970064576088</v>
      </c>
      <c r="H14" s="13">
        <v>0.70993905990572459</v>
      </c>
      <c r="I14" s="14">
        <v>8.6132602362302885E-2</v>
      </c>
      <c r="J14" s="13">
        <v>0.21795320694398401</v>
      </c>
      <c r="K14" s="14">
        <v>1.619975438065634E-2</v>
      </c>
      <c r="L14" s="13">
        <v>0.95660188429334059</v>
      </c>
      <c r="M14" s="10">
        <v>36.108636094215122</v>
      </c>
      <c r="N14" s="10">
        <v>40.07637786329952</v>
      </c>
      <c r="O14" s="10">
        <v>31.047668434071067</v>
      </c>
      <c r="P14" s="10">
        <v>45.137345523443571</v>
      </c>
      <c r="Q14" s="6"/>
    </row>
    <row r="15" spans="1:17" x14ac:dyDescent="0.3">
      <c r="A15" s="3"/>
      <c r="B15" s="3">
        <v>12</v>
      </c>
      <c r="C15" s="3">
        <v>21</v>
      </c>
      <c r="D15" s="10">
        <v>21.593040896227571</v>
      </c>
      <c r="E15" s="13">
        <v>-0.59304089622757061</v>
      </c>
      <c r="F15" s="13">
        <v>-0.18194377274889506</v>
      </c>
      <c r="G15" s="13">
        <v>-0.19325732664039846</v>
      </c>
      <c r="H15" s="13">
        <v>-0.18897451036223814</v>
      </c>
      <c r="I15" s="13">
        <v>0.11365569892974174</v>
      </c>
      <c r="J15" s="14">
        <v>-6.7670223198066759E-2</v>
      </c>
      <c r="K15" s="15">
        <v>1.5963916253034854E-3</v>
      </c>
      <c r="L15" s="13">
        <v>1.0988617490851382</v>
      </c>
      <c r="M15" s="10">
        <v>19.314141109449992</v>
      </c>
      <c r="N15" s="10">
        <v>23.87194068300515</v>
      </c>
      <c r="O15" s="10">
        <v>14.459501054582487</v>
      </c>
      <c r="P15" s="10">
        <v>28.726580737872652</v>
      </c>
      <c r="Q15" s="6"/>
    </row>
    <row r="16" spans="1:17" x14ac:dyDescent="0.3">
      <c r="A16" s="3"/>
      <c r="B16" s="3">
        <v>13</v>
      </c>
      <c r="C16" s="3">
        <v>13.5</v>
      </c>
      <c r="D16" s="10">
        <v>12.472990682793966</v>
      </c>
      <c r="E16" s="13">
        <v>1.0270093172060335</v>
      </c>
      <c r="F16" s="13">
        <v>0.31508442505291995</v>
      </c>
      <c r="G16" s="13">
        <v>0.32517935373500256</v>
      </c>
      <c r="H16" s="13">
        <v>0.31846923993300219</v>
      </c>
      <c r="I16" s="14">
        <v>6.1124632550017891E-2</v>
      </c>
      <c r="J16" s="14">
        <v>8.1259032958416882E-2</v>
      </c>
      <c r="K16" s="15">
        <v>2.294737373623111E-3</v>
      </c>
      <c r="L16" s="13">
        <v>0.80585253832736925</v>
      </c>
      <c r="M16" s="10">
        <v>10.801754806854738</v>
      </c>
      <c r="N16" s="10">
        <v>14.144226558733195</v>
      </c>
      <c r="O16" s="13">
        <v>5.5097273826458801</v>
      </c>
      <c r="P16" s="10">
        <v>19.436253982942052</v>
      </c>
      <c r="Q16" s="6"/>
    </row>
    <row r="17" spans="1:17" x14ac:dyDescent="0.3">
      <c r="A17" s="3"/>
      <c r="B17" s="3">
        <v>14</v>
      </c>
      <c r="C17" s="3">
        <v>19.75</v>
      </c>
      <c r="D17" s="10">
        <v>18.68246413891092</v>
      </c>
      <c r="E17" s="13">
        <v>1.0675358610890804</v>
      </c>
      <c r="F17" s="13">
        <v>0.32751788847417734</v>
      </c>
      <c r="G17" s="13">
        <v>0.34113546967611458</v>
      </c>
      <c r="H17" s="13">
        <v>0.33417724723111475</v>
      </c>
      <c r="I17" s="14">
        <v>7.8243316102310487E-2</v>
      </c>
      <c r="J17" s="14">
        <v>9.7362642770179322E-2</v>
      </c>
      <c r="K17" s="15">
        <v>3.2927855979146456E-3</v>
      </c>
      <c r="L17" s="13">
        <v>0.91174013242260066</v>
      </c>
      <c r="M17" s="10">
        <v>16.791630833352439</v>
      </c>
      <c r="N17" s="10">
        <v>20.5732974444694</v>
      </c>
      <c r="O17" s="10">
        <v>11.663257843070053</v>
      </c>
      <c r="P17" s="10">
        <v>25.701670434751787</v>
      </c>
      <c r="Q17" s="6"/>
    </row>
    <row r="18" spans="1:17" x14ac:dyDescent="0.3">
      <c r="A18" s="3"/>
      <c r="B18" s="3">
        <v>15</v>
      </c>
      <c r="C18" s="3">
        <v>24</v>
      </c>
      <c r="D18" s="10">
        <v>23.328798203161011</v>
      </c>
      <c r="E18" s="13">
        <v>0.6712017968389894</v>
      </c>
      <c r="F18" s="13">
        <v>0.20592338229885079</v>
      </c>
      <c r="G18" s="13">
        <v>0.21029136627905395</v>
      </c>
      <c r="H18" s="13">
        <v>0.20566324273112005</v>
      </c>
      <c r="I18" s="14">
        <v>4.1110770551008237E-2</v>
      </c>
      <c r="J18" s="14">
        <v>4.2584373994723916E-2</v>
      </c>
      <c r="K18" s="20">
        <v>6.3198796353056716E-4</v>
      </c>
      <c r="L18" s="13">
        <v>0.66088402781765188</v>
      </c>
      <c r="M18" s="10">
        <v>21.958208616862049</v>
      </c>
      <c r="N18" s="10">
        <v>24.699387789459973</v>
      </c>
      <c r="O18" s="10">
        <v>16.431514516938293</v>
      </c>
      <c r="P18" s="10">
        <v>30.226081889383728</v>
      </c>
      <c r="Q18" s="6"/>
    </row>
    <row r="19" spans="1:17" x14ac:dyDescent="0.3">
      <c r="A19" s="3"/>
      <c r="B19" s="3">
        <v>16</v>
      </c>
      <c r="C19" s="3">
        <v>29</v>
      </c>
      <c r="D19" s="10">
        <v>29.662928425590025</v>
      </c>
      <c r="E19" s="13">
        <v>-0.66292842559002452</v>
      </c>
      <c r="F19" s="13">
        <v>-0.2033851283808423</v>
      </c>
      <c r="G19" s="13">
        <v>-0.22270022698343001</v>
      </c>
      <c r="H19" s="13">
        <v>-0.21782566174506049</v>
      </c>
      <c r="I19" s="13">
        <v>0.16594043256235635</v>
      </c>
      <c r="J19" s="14">
        <v>-9.7159801029568893E-2</v>
      </c>
      <c r="K19" s="15">
        <v>3.289085885181633E-3</v>
      </c>
      <c r="L19" s="13">
        <v>1.3277721541721972</v>
      </c>
      <c r="M19" s="10">
        <v>26.909297514739393</v>
      </c>
      <c r="N19" s="10">
        <v>32.416559336440656</v>
      </c>
      <c r="O19" s="10">
        <v>22.363853852237938</v>
      </c>
      <c r="P19" s="10">
        <v>36.962002998942111</v>
      </c>
      <c r="Q19" s="6"/>
    </row>
    <row r="20" spans="1:17" x14ac:dyDescent="0.3">
      <c r="A20" s="3"/>
      <c r="B20" s="3">
        <v>17</v>
      </c>
      <c r="C20" s="3">
        <v>15.35</v>
      </c>
      <c r="D20" s="10">
        <v>14.913639659957333</v>
      </c>
      <c r="E20" s="13">
        <v>0.43636034004266655</v>
      </c>
      <c r="F20" s="13">
        <v>0.13387448833695206</v>
      </c>
      <c r="G20" s="13">
        <v>0.1380392938626141</v>
      </c>
      <c r="H20" s="13">
        <v>0.13492399599843768</v>
      </c>
      <c r="I20" s="14">
        <v>5.9432019758769342E-2</v>
      </c>
      <c r="J20" s="14">
        <v>3.3915978004255082E-2</v>
      </c>
      <c r="K20" s="20">
        <v>4.0134190063822529E-4</v>
      </c>
      <c r="L20" s="13">
        <v>0.79461670779372395</v>
      </c>
      <c r="M20" s="10">
        <v>13.265705470357366</v>
      </c>
      <c r="N20" s="10">
        <v>16.561573849557298</v>
      </c>
      <c r="O20" s="13">
        <v>7.9559321691658891</v>
      </c>
      <c r="P20" s="10">
        <v>21.871347150748775</v>
      </c>
      <c r="Q20" s="6"/>
    </row>
    <row r="21" spans="1:17" x14ac:dyDescent="0.3">
      <c r="A21" s="3"/>
      <c r="B21" s="3">
        <v>18</v>
      </c>
      <c r="C21" s="3">
        <v>19</v>
      </c>
      <c r="D21" s="10">
        <v>15.55137868518932</v>
      </c>
      <c r="E21" s="13">
        <v>3.4486213148106799</v>
      </c>
      <c r="F21" s="13">
        <v>1.0580301911558785</v>
      </c>
      <c r="G21" s="13">
        <v>1.1129519577227254</v>
      </c>
      <c r="H21" s="13">
        <v>1.1193306508234284</v>
      </c>
      <c r="I21" s="14">
        <v>9.6260456045905801E-2</v>
      </c>
      <c r="J21" s="13">
        <v>0.36530928513222233</v>
      </c>
      <c r="K21" s="14">
        <v>4.3978074434964563E-2</v>
      </c>
      <c r="L21" s="13">
        <v>1.0112799688980336</v>
      </c>
      <c r="M21" s="10">
        <v>13.454112393580868</v>
      </c>
      <c r="N21" s="10">
        <v>17.648644976797772</v>
      </c>
      <c r="O21" s="13">
        <v>8.4737708737829891</v>
      </c>
      <c r="P21" s="10">
        <v>22.628986496595651</v>
      </c>
      <c r="Q21" s="6"/>
    </row>
    <row r="22" spans="1:17" x14ac:dyDescent="0.3">
      <c r="A22" s="3"/>
      <c r="B22" s="3">
        <v>19</v>
      </c>
      <c r="C22" s="3">
        <v>9.5</v>
      </c>
      <c r="D22" s="13">
        <v>7.70680652221969</v>
      </c>
      <c r="E22" s="13">
        <v>1.79319347778031</v>
      </c>
      <c r="F22" s="13">
        <v>0.55014820848183799</v>
      </c>
      <c r="G22" s="13">
        <v>0.578766339691556</v>
      </c>
      <c r="H22" s="13">
        <v>0.56981420275899364</v>
      </c>
      <c r="I22" s="14">
        <v>9.6448573778327246E-2</v>
      </c>
      <c r="J22" s="13">
        <v>0.18616787306147101</v>
      </c>
      <c r="K22" s="14">
        <v>1.1918681374629956E-2</v>
      </c>
      <c r="L22" s="13">
        <v>1.0122676374005855</v>
      </c>
      <c r="M22" s="13">
        <v>5.6074919315037777</v>
      </c>
      <c r="N22" s="13">
        <v>9.8061211129356032</v>
      </c>
      <c r="O22" s="13">
        <v>0.62859147992579434</v>
      </c>
      <c r="P22" s="10">
        <v>14.785021564513585</v>
      </c>
      <c r="Q22" s="6"/>
    </row>
    <row r="23" spans="1:17" x14ac:dyDescent="0.3">
      <c r="A23" s="3"/>
      <c r="B23" s="3">
        <v>20</v>
      </c>
      <c r="C23" s="3">
        <v>35.1</v>
      </c>
      <c r="D23" s="10">
        <v>40.887969942321519</v>
      </c>
      <c r="E23" s="13">
        <v>-5.7879699423215172</v>
      </c>
      <c r="F23" s="13">
        <v>-1.7757377181945235</v>
      </c>
      <c r="G23" s="13">
        <v>-1.8735464299825912</v>
      </c>
      <c r="H23" s="13">
        <v>-1.9966765693101298</v>
      </c>
      <c r="I23" s="13">
        <v>0.10168486097909876</v>
      </c>
      <c r="J23" s="13">
        <v>-0.67177140241667677</v>
      </c>
      <c r="K23" s="13">
        <v>0.13244490193454464</v>
      </c>
      <c r="L23" s="13">
        <v>1.0393829709128672</v>
      </c>
      <c r="M23" s="10">
        <v>38.732421591707251</v>
      </c>
      <c r="N23" s="10">
        <v>43.043518292935786</v>
      </c>
      <c r="O23" s="10">
        <v>33.792873387235126</v>
      </c>
      <c r="P23" s="10">
        <v>47.983066497407911</v>
      </c>
      <c r="Q23" s="6"/>
    </row>
    <row r="24" spans="1:17" x14ac:dyDescent="0.3">
      <c r="A24" s="3"/>
      <c r="B24" s="3">
        <v>21</v>
      </c>
      <c r="C24" s="3">
        <v>17.899999999999999</v>
      </c>
      <c r="D24" s="10">
        <v>20.514178927061469</v>
      </c>
      <c r="E24" s="13">
        <v>-2.6141789270614701</v>
      </c>
      <c r="F24" s="13">
        <v>-0.80202491878014626</v>
      </c>
      <c r="G24" s="13">
        <v>-0.87784257888435402</v>
      </c>
      <c r="H24" s="13">
        <v>-0.87308697048774075</v>
      </c>
      <c r="I24" s="13">
        <v>0.16527688549269776</v>
      </c>
      <c r="J24" s="13">
        <v>-0.38850118456659488</v>
      </c>
      <c r="K24" s="14">
        <v>5.0860627012910699E-2</v>
      </c>
      <c r="L24" s="13">
        <v>1.3251148095208563</v>
      </c>
      <c r="M24" s="10">
        <v>17.766059011715392</v>
      </c>
      <c r="N24" s="10">
        <v>23.262298842407546</v>
      </c>
      <c r="O24" s="10">
        <v>13.217181633428655</v>
      </c>
      <c r="P24" s="10">
        <v>27.811176220694282</v>
      </c>
      <c r="Q24" s="6"/>
    </row>
    <row r="25" spans="1:17" x14ac:dyDescent="0.3">
      <c r="A25" s="3"/>
      <c r="B25" s="3">
        <v>22</v>
      </c>
      <c r="C25" s="3">
        <v>52.32</v>
      </c>
      <c r="D25" s="10">
        <v>56.006527888026724</v>
      </c>
      <c r="E25" s="13">
        <v>-3.686527888026724</v>
      </c>
      <c r="F25" s="13">
        <v>-1.1310194567664547</v>
      </c>
      <c r="G25" s="13">
        <v>-1.4499954140501876</v>
      </c>
      <c r="H25" s="13">
        <v>-1.4896247320074767</v>
      </c>
      <c r="I25" s="13">
        <v>0.39157521846968973</v>
      </c>
      <c r="J25" s="13">
        <v>-1.1950361040734703</v>
      </c>
      <c r="K25" s="13">
        <v>0.45104545057679946</v>
      </c>
      <c r="L25" s="13">
        <v>2.0396471692342915</v>
      </c>
      <c r="M25" s="10">
        <v>51.776558555725046</v>
      </c>
      <c r="N25" s="10">
        <v>60.236497220328403</v>
      </c>
      <c r="O25" s="10">
        <v>48.032404300673967</v>
      </c>
      <c r="P25" s="10">
        <v>63.980651475379481</v>
      </c>
      <c r="Q25" s="6"/>
    </row>
    <row r="26" spans="1:17" x14ac:dyDescent="0.3">
      <c r="A26" s="3"/>
      <c r="B26" s="3">
        <v>23</v>
      </c>
      <c r="C26" s="3">
        <v>18.75</v>
      </c>
      <c r="D26" s="10">
        <v>23.357567855672109</v>
      </c>
      <c r="E26" s="13">
        <v>-4.6075678556721087</v>
      </c>
      <c r="F26" s="13">
        <v>-1.4135926951921842</v>
      </c>
      <c r="G26" s="13">
        <v>-1.4436897737087993</v>
      </c>
      <c r="H26" s="13">
        <v>-1.4824671796625617</v>
      </c>
      <c r="I26" s="14">
        <v>4.1260050712577087E-2</v>
      </c>
      <c r="J26" s="13">
        <v>-0.30753854400441893</v>
      </c>
      <c r="K26" s="14">
        <v>2.9898915715562087E-2</v>
      </c>
      <c r="L26" s="13">
        <v>0.66208283138440271</v>
      </c>
      <c r="M26" s="10">
        <v>21.984492102942355</v>
      </c>
      <c r="N26" s="10">
        <v>24.730643608401863</v>
      </c>
      <c r="O26" s="10">
        <v>16.459789702027471</v>
      </c>
      <c r="P26" s="10">
        <v>30.255346009316746</v>
      </c>
      <c r="Q26" s="6"/>
    </row>
    <row r="27" spans="1:17" x14ac:dyDescent="0.3">
      <c r="A27" s="3"/>
      <c r="B27" s="3">
        <v>24</v>
      </c>
      <c r="C27" s="3">
        <v>19.829999999999998</v>
      </c>
      <c r="D27" s="10">
        <v>24.402853502339241</v>
      </c>
      <c r="E27" s="13">
        <v>-4.5728535023392425</v>
      </c>
      <c r="F27" s="13">
        <v>-1.4029424003236559</v>
      </c>
      <c r="G27" s="13">
        <v>-1.4960587548771989</v>
      </c>
      <c r="H27" s="13">
        <v>-1.5422151224431413</v>
      </c>
      <c r="I27" s="13">
        <v>0.12060826049610085</v>
      </c>
      <c r="J27" s="13">
        <v>-0.57113962670542096</v>
      </c>
      <c r="K27" s="13">
        <v>0.10232239978779725</v>
      </c>
      <c r="L27" s="13">
        <v>1.1319727557862036</v>
      </c>
      <c r="M27" s="10">
        <v>22.055285690513131</v>
      </c>
      <c r="N27" s="10">
        <v>26.750421314165351</v>
      </c>
      <c r="O27" s="10">
        <v>17.247080932917761</v>
      </c>
      <c r="P27" s="10">
        <v>31.55862607176072</v>
      </c>
      <c r="Q27" s="6"/>
    </row>
    <row r="28" spans="1:17" x14ac:dyDescent="0.3">
      <c r="A28" s="3"/>
      <c r="B28" s="3">
        <v>25</v>
      </c>
      <c r="C28" s="3">
        <v>10.75</v>
      </c>
      <c r="D28" s="10">
        <v>10.962583925961422</v>
      </c>
      <c r="E28" s="13">
        <v>-0.21258392596142173</v>
      </c>
      <c r="F28" s="14">
        <v>-6.5220327571389985E-2</v>
      </c>
      <c r="G28" s="14">
        <v>-6.750861327799966E-2</v>
      </c>
      <c r="H28" s="14">
        <v>-6.5963316330698102E-2</v>
      </c>
      <c r="I28" s="14">
        <v>6.664345475853066E-2</v>
      </c>
      <c r="J28" s="14">
        <v>-1.7626149300385318E-2</v>
      </c>
      <c r="K28" s="20">
        <v>1.0846935173472022E-4</v>
      </c>
      <c r="L28" s="13">
        <v>0.84144590032471922</v>
      </c>
      <c r="M28" s="13">
        <v>9.217531935179732</v>
      </c>
      <c r="N28" s="10">
        <v>12.707635916743111</v>
      </c>
      <c r="O28" s="13">
        <v>3.9812364281860813</v>
      </c>
      <c r="P28" s="10">
        <v>17.943931423736764</v>
      </c>
      <c r="Q28" s="6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x14ac:dyDescent="0.3">
      <c r="A31" s="3" t="s">
        <v>61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7" x14ac:dyDescent="0.3">
      <c r="A32" s="3" t="s">
        <v>62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3" t="s">
        <v>63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3" t="s">
        <v>64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3" t="s">
        <v>65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3" t="s">
        <v>66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3" t="s">
        <v>67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sheetProtection sheet="1" objects="1" scenarios="1"/>
  <conditionalFormatting sqref="F4">
    <cfRule type="cellIs" dxfId="149" priority="1" stopIfTrue="1" operator="notBetween">
      <formula>-3</formula>
      <formula>3</formula>
    </cfRule>
  </conditionalFormatting>
  <conditionalFormatting sqref="F5">
    <cfRule type="cellIs" dxfId="148" priority="2" stopIfTrue="1" operator="notBetween">
      <formula>-3</formula>
      <formula>3</formula>
    </cfRule>
  </conditionalFormatting>
  <conditionalFormatting sqref="F6">
    <cfRule type="cellIs" dxfId="147" priority="3" stopIfTrue="1" operator="notBetween">
      <formula>-3</formula>
      <formula>3</formula>
    </cfRule>
  </conditionalFormatting>
  <conditionalFormatting sqref="F7">
    <cfRule type="cellIs" dxfId="146" priority="4" stopIfTrue="1" operator="notBetween">
      <formula>-3</formula>
      <formula>3</formula>
    </cfRule>
  </conditionalFormatting>
  <conditionalFormatting sqref="F8">
    <cfRule type="cellIs" dxfId="145" priority="5" stopIfTrue="1" operator="notBetween">
      <formula>-3</formula>
      <formula>3</formula>
    </cfRule>
  </conditionalFormatting>
  <conditionalFormatting sqref="F9">
    <cfRule type="cellIs" dxfId="144" priority="6" stopIfTrue="1" operator="notBetween">
      <formula>-3</formula>
      <formula>3</formula>
    </cfRule>
  </conditionalFormatting>
  <conditionalFormatting sqref="F10">
    <cfRule type="cellIs" dxfId="143" priority="7" stopIfTrue="1" operator="notBetween">
      <formula>-3</formula>
      <formula>3</formula>
    </cfRule>
  </conditionalFormatting>
  <conditionalFormatting sqref="F11">
    <cfRule type="cellIs" dxfId="142" priority="8" stopIfTrue="1" operator="notBetween">
      <formula>-3</formula>
      <formula>3</formula>
    </cfRule>
  </conditionalFormatting>
  <conditionalFormatting sqref="F12">
    <cfRule type="cellIs" dxfId="141" priority="9" stopIfTrue="1" operator="notBetween">
      <formula>-3</formula>
      <formula>3</formula>
    </cfRule>
  </conditionalFormatting>
  <conditionalFormatting sqref="F13">
    <cfRule type="cellIs" dxfId="140" priority="10" stopIfTrue="1" operator="notBetween">
      <formula>-3</formula>
      <formula>3</formula>
    </cfRule>
  </conditionalFormatting>
  <conditionalFormatting sqref="F14">
    <cfRule type="cellIs" dxfId="139" priority="11" stopIfTrue="1" operator="notBetween">
      <formula>-3</formula>
      <formula>3</formula>
    </cfRule>
  </conditionalFormatting>
  <conditionalFormatting sqref="F15">
    <cfRule type="cellIs" dxfId="138" priority="12" stopIfTrue="1" operator="notBetween">
      <formula>-3</formula>
      <formula>3</formula>
    </cfRule>
  </conditionalFormatting>
  <conditionalFormatting sqref="F16">
    <cfRule type="cellIs" dxfId="137" priority="13" stopIfTrue="1" operator="notBetween">
      <formula>-3</formula>
      <formula>3</formula>
    </cfRule>
  </conditionalFormatting>
  <conditionalFormatting sqref="F17">
    <cfRule type="cellIs" dxfId="136" priority="14" stopIfTrue="1" operator="notBetween">
      <formula>-3</formula>
      <formula>3</formula>
    </cfRule>
  </conditionalFormatting>
  <conditionalFormatting sqref="F18">
    <cfRule type="cellIs" dxfId="135" priority="15" stopIfTrue="1" operator="notBetween">
      <formula>-3</formula>
      <formula>3</formula>
    </cfRule>
  </conditionalFormatting>
  <conditionalFormatting sqref="F19">
    <cfRule type="cellIs" dxfId="134" priority="16" stopIfTrue="1" operator="notBetween">
      <formula>-3</formula>
      <formula>3</formula>
    </cfRule>
  </conditionalFormatting>
  <conditionalFormatting sqref="F20">
    <cfRule type="cellIs" dxfId="133" priority="17" stopIfTrue="1" operator="notBetween">
      <formula>-3</formula>
      <formula>3</formula>
    </cfRule>
  </conditionalFormatting>
  <conditionalFormatting sqref="F21">
    <cfRule type="cellIs" dxfId="132" priority="18" stopIfTrue="1" operator="notBetween">
      <formula>-3</formula>
      <formula>3</formula>
    </cfRule>
  </conditionalFormatting>
  <conditionalFormatting sqref="F22">
    <cfRule type="cellIs" dxfId="131" priority="19" stopIfTrue="1" operator="notBetween">
      <formula>-3</formula>
      <formula>3</formula>
    </cfRule>
  </conditionalFormatting>
  <conditionalFormatting sqref="F23">
    <cfRule type="cellIs" dxfId="130" priority="20" stopIfTrue="1" operator="notBetween">
      <formula>-3</formula>
      <formula>3</formula>
    </cfRule>
  </conditionalFormatting>
  <conditionalFormatting sqref="F24">
    <cfRule type="cellIs" dxfId="129" priority="21" stopIfTrue="1" operator="notBetween">
      <formula>-3</formula>
      <formula>3</formula>
    </cfRule>
  </conditionalFormatting>
  <conditionalFormatting sqref="F25">
    <cfRule type="cellIs" dxfId="128" priority="22" stopIfTrue="1" operator="notBetween">
      <formula>-3</formula>
      <formula>3</formula>
    </cfRule>
  </conditionalFormatting>
  <conditionalFormatting sqref="F26">
    <cfRule type="cellIs" dxfId="127" priority="23" stopIfTrue="1" operator="notBetween">
      <formula>-3</formula>
      <formula>3</formula>
    </cfRule>
  </conditionalFormatting>
  <conditionalFormatting sqref="F27">
    <cfRule type="cellIs" dxfId="126" priority="24" stopIfTrue="1" operator="notBetween">
      <formula>-3</formula>
      <formula>3</formula>
    </cfRule>
  </conditionalFormatting>
  <conditionalFormatting sqref="F28">
    <cfRule type="cellIs" dxfId="125" priority="25" stopIfTrue="1" operator="notBetween">
      <formula>-3</formula>
      <formula>3</formula>
    </cfRule>
  </conditionalFormatting>
  <conditionalFormatting sqref="G4">
    <cfRule type="cellIs" dxfId="124" priority="26" stopIfTrue="1" operator="notBetween">
      <formula>-3</formula>
      <formula>3</formula>
    </cfRule>
  </conditionalFormatting>
  <conditionalFormatting sqref="G5">
    <cfRule type="cellIs" dxfId="123" priority="27" stopIfTrue="1" operator="notBetween">
      <formula>-3</formula>
      <formula>3</formula>
    </cfRule>
  </conditionalFormatting>
  <conditionalFormatting sqref="G6">
    <cfRule type="cellIs" dxfId="122" priority="28" stopIfTrue="1" operator="notBetween">
      <formula>-3</formula>
      <formula>3</formula>
    </cfRule>
  </conditionalFormatting>
  <conditionalFormatting sqref="G7">
    <cfRule type="cellIs" dxfId="121" priority="29" stopIfTrue="1" operator="notBetween">
      <formula>-3</formula>
      <formula>3</formula>
    </cfRule>
  </conditionalFormatting>
  <conditionalFormatting sqref="G8">
    <cfRule type="cellIs" dxfId="120" priority="30" stopIfTrue="1" operator="notBetween">
      <formula>-3</formula>
      <formula>3</formula>
    </cfRule>
  </conditionalFormatting>
  <conditionalFormatting sqref="G9">
    <cfRule type="cellIs" dxfId="119" priority="31" stopIfTrue="1" operator="notBetween">
      <formula>-3</formula>
      <formula>3</formula>
    </cfRule>
  </conditionalFormatting>
  <conditionalFormatting sqref="G10">
    <cfRule type="cellIs" dxfId="118" priority="32" stopIfTrue="1" operator="notBetween">
      <formula>-3</formula>
      <formula>3</formula>
    </cfRule>
  </conditionalFormatting>
  <conditionalFormatting sqref="G11">
    <cfRule type="cellIs" dxfId="117" priority="33" stopIfTrue="1" operator="notBetween">
      <formula>-3</formula>
      <formula>3</formula>
    </cfRule>
  </conditionalFormatting>
  <conditionalFormatting sqref="G12">
    <cfRule type="cellIs" dxfId="116" priority="34" stopIfTrue="1" operator="notBetween">
      <formula>-3</formula>
      <formula>3</formula>
    </cfRule>
  </conditionalFormatting>
  <conditionalFormatting sqref="G13">
    <cfRule type="cellIs" dxfId="115" priority="35" stopIfTrue="1" operator="notBetween">
      <formula>-3</formula>
      <formula>3</formula>
    </cfRule>
  </conditionalFormatting>
  <conditionalFormatting sqref="G14">
    <cfRule type="cellIs" dxfId="114" priority="36" stopIfTrue="1" operator="notBetween">
      <formula>-3</formula>
      <formula>3</formula>
    </cfRule>
  </conditionalFormatting>
  <conditionalFormatting sqref="G15">
    <cfRule type="cellIs" dxfId="113" priority="37" stopIfTrue="1" operator="notBetween">
      <formula>-3</formula>
      <formula>3</formula>
    </cfRule>
  </conditionalFormatting>
  <conditionalFormatting sqref="G16">
    <cfRule type="cellIs" dxfId="112" priority="38" stopIfTrue="1" operator="notBetween">
      <formula>-3</formula>
      <formula>3</formula>
    </cfRule>
  </conditionalFormatting>
  <conditionalFormatting sqref="G17">
    <cfRule type="cellIs" dxfId="111" priority="39" stopIfTrue="1" operator="notBetween">
      <formula>-3</formula>
      <formula>3</formula>
    </cfRule>
  </conditionalFormatting>
  <conditionalFormatting sqref="G18">
    <cfRule type="cellIs" dxfId="110" priority="40" stopIfTrue="1" operator="notBetween">
      <formula>-3</formula>
      <formula>3</formula>
    </cfRule>
  </conditionalFormatting>
  <conditionalFormatting sqref="G19">
    <cfRule type="cellIs" dxfId="109" priority="41" stopIfTrue="1" operator="notBetween">
      <formula>-3</formula>
      <formula>3</formula>
    </cfRule>
  </conditionalFormatting>
  <conditionalFormatting sqref="G20">
    <cfRule type="cellIs" dxfId="108" priority="42" stopIfTrue="1" operator="notBetween">
      <formula>-3</formula>
      <formula>3</formula>
    </cfRule>
  </conditionalFormatting>
  <conditionalFormatting sqref="G21">
    <cfRule type="cellIs" dxfId="107" priority="43" stopIfTrue="1" operator="notBetween">
      <formula>-3</formula>
      <formula>3</formula>
    </cfRule>
  </conditionalFormatting>
  <conditionalFormatting sqref="G22">
    <cfRule type="cellIs" dxfId="106" priority="44" stopIfTrue="1" operator="notBetween">
      <formula>-3</formula>
      <formula>3</formula>
    </cfRule>
  </conditionalFormatting>
  <conditionalFormatting sqref="G23">
    <cfRule type="cellIs" dxfId="105" priority="45" stopIfTrue="1" operator="notBetween">
      <formula>-3</formula>
      <formula>3</formula>
    </cfRule>
  </conditionalFormatting>
  <conditionalFormatting sqref="G24">
    <cfRule type="cellIs" dxfId="104" priority="46" stopIfTrue="1" operator="notBetween">
      <formula>-3</formula>
      <formula>3</formula>
    </cfRule>
  </conditionalFormatting>
  <conditionalFormatting sqref="G25">
    <cfRule type="cellIs" dxfId="103" priority="47" stopIfTrue="1" operator="notBetween">
      <formula>-3</formula>
      <formula>3</formula>
    </cfRule>
  </conditionalFormatting>
  <conditionalFormatting sqref="G26">
    <cfRule type="cellIs" dxfId="102" priority="48" stopIfTrue="1" operator="notBetween">
      <formula>-3</formula>
      <formula>3</formula>
    </cfRule>
  </conditionalFormatting>
  <conditionalFormatting sqref="G27">
    <cfRule type="cellIs" dxfId="101" priority="49" stopIfTrue="1" operator="notBetween">
      <formula>-3</formula>
      <formula>3</formula>
    </cfRule>
  </conditionalFormatting>
  <conditionalFormatting sqref="G28">
    <cfRule type="cellIs" dxfId="100" priority="50" stopIfTrue="1" operator="notBetween">
      <formula>-3</formula>
      <formula>3</formula>
    </cfRule>
  </conditionalFormatting>
  <conditionalFormatting sqref="H4">
    <cfRule type="cellIs" dxfId="99" priority="51" stopIfTrue="1" operator="notBetween">
      <formula>-3</formula>
      <formula>3</formula>
    </cfRule>
  </conditionalFormatting>
  <conditionalFormatting sqref="H5">
    <cfRule type="cellIs" dxfId="98" priority="52" stopIfTrue="1" operator="notBetween">
      <formula>-3</formula>
      <formula>3</formula>
    </cfRule>
  </conditionalFormatting>
  <conditionalFormatting sqref="H6">
    <cfRule type="cellIs" dxfId="97" priority="53" stopIfTrue="1" operator="notBetween">
      <formula>-3</formula>
      <formula>3</formula>
    </cfRule>
  </conditionalFormatting>
  <conditionalFormatting sqref="H7">
    <cfRule type="cellIs" dxfId="96" priority="54" stopIfTrue="1" operator="notBetween">
      <formula>-3</formula>
      <formula>3</formula>
    </cfRule>
  </conditionalFormatting>
  <conditionalFormatting sqref="H8">
    <cfRule type="cellIs" dxfId="95" priority="55" stopIfTrue="1" operator="notBetween">
      <formula>-3</formula>
      <formula>3</formula>
    </cfRule>
  </conditionalFormatting>
  <conditionalFormatting sqref="H9">
    <cfRule type="cellIs" dxfId="94" priority="56" stopIfTrue="1" operator="notBetween">
      <formula>-3</formula>
      <formula>3</formula>
    </cfRule>
  </conditionalFormatting>
  <conditionalFormatting sqref="H10">
    <cfRule type="cellIs" dxfId="93" priority="57" stopIfTrue="1" operator="notBetween">
      <formula>-3</formula>
      <formula>3</formula>
    </cfRule>
  </conditionalFormatting>
  <conditionalFormatting sqref="H11">
    <cfRule type="cellIs" dxfId="92" priority="58" stopIfTrue="1" operator="notBetween">
      <formula>-3</formula>
      <formula>3</formula>
    </cfRule>
  </conditionalFormatting>
  <conditionalFormatting sqref="H12">
    <cfRule type="cellIs" dxfId="91" priority="59" stopIfTrue="1" operator="notBetween">
      <formula>-3</formula>
      <formula>3</formula>
    </cfRule>
  </conditionalFormatting>
  <conditionalFormatting sqref="H13">
    <cfRule type="cellIs" dxfId="90" priority="60" stopIfTrue="1" operator="notBetween">
      <formula>-3</formula>
      <formula>3</formula>
    </cfRule>
  </conditionalFormatting>
  <conditionalFormatting sqref="H14">
    <cfRule type="cellIs" dxfId="89" priority="61" stopIfTrue="1" operator="notBetween">
      <formula>-3</formula>
      <formula>3</formula>
    </cfRule>
  </conditionalFormatting>
  <conditionalFormatting sqref="H15">
    <cfRule type="cellIs" dxfId="88" priority="62" stopIfTrue="1" operator="notBetween">
      <formula>-3</formula>
      <formula>3</formula>
    </cfRule>
  </conditionalFormatting>
  <conditionalFormatting sqref="H16">
    <cfRule type="cellIs" dxfId="87" priority="63" stopIfTrue="1" operator="notBetween">
      <formula>-3</formula>
      <formula>3</formula>
    </cfRule>
  </conditionalFormatting>
  <conditionalFormatting sqref="H17">
    <cfRule type="cellIs" dxfId="86" priority="64" stopIfTrue="1" operator="notBetween">
      <formula>-3</formula>
      <formula>3</formula>
    </cfRule>
  </conditionalFormatting>
  <conditionalFormatting sqref="H18">
    <cfRule type="cellIs" dxfId="85" priority="65" stopIfTrue="1" operator="notBetween">
      <formula>-3</formula>
      <formula>3</formula>
    </cfRule>
  </conditionalFormatting>
  <conditionalFormatting sqref="H19">
    <cfRule type="cellIs" dxfId="84" priority="66" stopIfTrue="1" operator="notBetween">
      <formula>-3</formula>
      <formula>3</formula>
    </cfRule>
  </conditionalFormatting>
  <conditionalFormatting sqref="H20">
    <cfRule type="cellIs" dxfId="83" priority="67" stopIfTrue="1" operator="notBetween">
      <formula>-3</formula>
      <formula>3</formula>
    </cfRule>
  </conditionalFormatting>
  <conditionalFormatting sqref="H21">
    <cfRule type="cellIs" dxfId="82" priority="68" stopIfTrue="1" operator="notBetween">
      <formula>-3</formula>
      <formula>3</formula>
    </cfRule>
  </conditionalFormatting>
  <conditionalFormatting sqref="H22">
    <cfRule type="cellIs" dxfId="81" priority="69" stopIfTrue="1" operator="notBetween">
      <formula>-3</formula>
      <formula>3</formula>
    </cfRule>
  </conditionalFormatting>
  <conditionalFormatting sqref="H23">
    <cfRule type="cellIs" dxfId="80" priority="70" stopIfTrue="1" operator="notBetween">
      <formula>-3</formula>
      <formula>3</formula>
    </cfRule>
  </conditionalFormatting>
  <conditionalFormatting sqref="H24">
    <cfRule type="cellIs" dxfId="79" priority="71" stopIfTrue="1" operator="notBetween">
      <formula>-3</formula>
      <formula>3</formula>
    </cfRule>
  </conditionalFormatting>
  <conditionalFormatting sqref="H25">
    <cfRule type="cellIs" dxfId="78" priority="72" stopIfTrue="1" operator="notBetween">
      <formula>-3</formula>
      <formula>3</formula>
    </cfRule>
  </conditionalFormatting>
  <conditionalFormatting sqref="H26">
    <cfRule type="cellIs" dxfId="77" priority="73" stopIfTrue="1" operator="notBetween">
      <formula>-3</formula>
      <formula>3</formula>
    </cfRule>
  </conditionalFormatting>
  <conditionalFormatting sqref="H27">
    <cfRule type="cellIs" dxfId="76" priority="74" stopIfTrue="1" operator="notBetween">
      <formula>-3</formula>
      <formula>3</formula>
    </cfRule>
  </conditionalFormatting>
  <conditionalFormatting sqref="H28">
    <cfRule type="cellIs" dxfId="75" priority="75" stopIfTrue="1" operator="notBetween">
      <formula>-3</formula>
      <formula>3</formula>
    </cfRule>
  </conditionalFormatting>
  <conditionalFormatting sqref="I4">
    <cfRule type="cellIs" dxfId="74" priority="76" stopIfTrue="1" operator="greaterThan">
      <formula>0.24</formula>
    </cfRule>
  </conditionalFormatting>
  <conditionalFormatting sqref="I5">
    <cfRule type="cellIs" dxfId="73" priority="77" stopIfTrue="1" operator="greaterThan">
      <formula>0.24</formula>
    </cfRule>
  </conditionalFormatting>
  <conditionalFormatting sqref="I6">
    <cfRule type="cellIs" dxfId="72" priority="78" stopIfTrue="1" operator="greaterThan">
      <formula>0.24</formula>
    </cfRule>
  </conditionalFormatting>
  <conditionalFormatting sqref="I7">
    <cfRule type="cellIs" dxfId="71" priority="79" stopIfTrue="1" operator="greaterThan">
      <formula>0.24</formula>
    </cfRule>
  </conditionalFormatting>
  <conditionalFormatting sqref="I8">
    <cfRule type="cellIs" dxfId="70" priority="80" stopIfTrue="1" operator="greaterThan">
      <formula>0.24</formula>
    </cfRule>
  </conditionalFormatting>
  <conditionalFormatting sqref="I9">
    <cfRule type="cellIs" dxfId="69" priority="81" stopIfTrue="1" operator="greaterThan">
      <formula>0.24</formula>
    </cfRule>
  </conditionalFormatting>
  <conditionalFormatting sqref="I10">
    <cfRule type="cellIs" dxfId="68" priority="82" stopIfTrue="1" operator="greaterThan">
      <formula>0.24</formula>
    </cfRule>
  </conditionalFormatting>
  <conditionalFormatting sqref="I11">
    <cfRule type="cellIs" dxfId="67" priority="83" stopIfTrue="1" operator="greaterThan">
      <formula>0.24</formula>
    </cfRule>
  </conditionalFormatting>
  <conditionalFormatting sqref="I12">
    <cfRule type="cellIs" dxfId="66" priority="84" stopIfTrue="1" operator="greaterThan">
      <formula>0.24</formula>
    </cfRule>
  </conditionalFormatting>
  <conditionalFormatting sqref="I13">
    <cfRule type="cellIs" dxfId="65" priority="85" stopIfTrue="1" operator="greaterThan">
      <formula>0.24</formula>
    </cfRule>
  </conditionalFormatting>
  <conditionalFormatting sqref="I14">
    <cfRule type="cellIs" dxfId="64" priority="86" stopIfTrue="1" operator="greaterThan">
      <formula>0.24</formula>
    </cfRule>
  </conditionalFormatting>
  <conditionalFormatting sqref="I15">
    <cfRule type="cellIs" dxfId="63" priority="87" stopIfTrue="1" operator="greaterThan">
      <formula>0.24</formula>
    </cfRule>
  </conditionalFormatting>
  <conditionalFormatting sqref="I16">
    <cfRule type="cellIs" dxfId="62" priority="88" stopIfTrue="1" operator="greaterThan">
      <formula>0.24</formula>
    </cfRule>
  </conditionalFormatting>
  <conditionalFormatting sqref="I17">
    <cfRule type="cellIs" dxfId="61" priority="89" stopIfTrue="1" operator="greaterThan">
      <formula>0.24</formula>
    </cfRule>
  </conditionalFormatting>
  <conditionalFormatting sqref="I18">
    <cfRule type="cellIs" dxfId="60" priority="90" stopIfTrue="1" operator="greaterThan">
      <formula>0.24</formula>
    </cfRule>
  </conditionalFormatting>
  <conditionalFormatting sqref="I19">
    <cfRule type="cellIs" dxfId="59" priority="91" stopIfTrue="1" operator="greaterThan">
      <formula>0.24</formula>
    </cfRule>
  </conditionalFormatting>
  <conditionalFormatting sqref="I20">
    <cfRule type="cellIs" dxfId="58" priority="92" stopIfTrue="1" operator="greaterThan">
      <formula>0.24</formula>
    </cfRule>
  </conditionalFormatting>
  <conditionalFormatting sqref="I21">
    <cfRule type="cellIs" dxfId="57" priority="93" stopIfTrue="1" operator="greaterThan">
      <formula>0.24</formula>
    </cfRule>
  </conditionalFormatting>
  <conditionalFormatting sqref="I22">
    <cfRule type="cellIs" dxfId="56" priority="94" stopIfTrue="1" operator="greaterThan">
      <formula>0.24</formula>
    </cfRule>
  </conditionalFormatting>
  <conditionalFormatting sqref="I23">
    <cfRule type="cellIs" dxfId="55" priority="95" stopIfTrue="1" operator="greaterThan">
      <formula>0.24</formula>
    </cfRule>
  </conditionalFormatting>
  <conditionalFormatting sqref="I24">
    <cfRule type="cellIs" dxfId="54" priority="96" stopIfTrue="1" operator="greaterThan">
      <formula>0.24</formula>
    </cfRule>
  </conditionalFormatting>
  <conditionalFormatting sqref="I25">
    <cfRule type="cellIs" dxfId="53" priority="97" stopIfTrue="1" operator="greaterThan">
      <formula>0.24</formula>
    </cfRule>
  </conditionalFormatting>
  <conditionalFormatting sqref="I26">
    <cfRule type="cellIs" dxfId="52" priority="98" stopIfTrue="1" operator="greaterThan">
      <formula>0.24</formula>
    </cfRule>
  </conditionalFormatting>
  <conditionalFormatting sqref="I27">
    <cfRule type="cellIs" dxfId="51" priority="99" stopIfTrue="1" operator="greaterThan">
      <formula>0.24</formula>
    </cfRule>
  </conditionalFormatting>
  <conditionalFormatting sqref="I28">
    <cfRule type="cellIs" dxfId="50" priority="100" stopIfTrue="1" operator="greaterThan">
      <formula>0.24</formula>
    </cfRule>
  </conditionalFormatting>
  <conditionalFormatting sqref="J4">
    <cfRule type="cellIs" dxfId="49" priority="101" stopIfTrue="1" operator="notBetween">
      <formula>-0.692820323027551</formula>
      <formula>0.692820323027551</formula>
    </cfRule>
  </conditionalFormatting>
  <conditionalFormatting sqref="J5">
    <cfRule type="cellIs" dxfId="48" priority="102" stopIfTrue="1" operator="notBetween">
      <formula>-0.692820323027551</formula>
      <formula>0.692820323027551</formula>
    </cfRule>
  </conditionalFormatting>
  <conditionalFormatting sqref="J6">
    <cfRule type="cellIs" dxfId="47" priority="103" stopIfTrue="1" operator="notBetween">
      <formula>-0.692820323027551</formula>
      <formula>0.692820323027551</formula>
    </cfRule>
  </conditionalFormatting>
  <conditionalFormatting sqref="J7">
    <cfRule type="cellIs" dxfId="46" priority="104" stopIfTrue="1" operator="notBetween">
      <formula>-0.692820323027551</formula>
      <formula>0.692820323027551</formula>
    </cfRule>
  </conditionalFormatting>
  <conditionalFormatting sqref="J8">
    <cfRule type="cellIs" dxfId="45" priority="105" stopIfTrue="1" operator="notBetween">
      <formula>-0.692820323027551</formula>
      <formula>0.692820323027551</formula>
    </cfRule>
  </conditionalFormatting>
  <conditionalFormatting sqref="J9">
    <cfRule type="cellIs" dxfId="44" priority="106" stopIfTrue="1" operator="notBetween">
      <formula>-0.692820323027551</formula>
      <formula>0.692820323027551</formula>
    </cfRule>
  </conditionalFormatting>
  <conditionalFormatting sqref="J10">
    <cfRule type="cellIs" dxfId="43" priority="107" stopIfTrue="1" operator="notBetween">
      <formula>-0.692820323027551</formula>
      <formula>0.692820323027551</formula>
    </cfRule>
  </conditionalFormatting>
  <conditionalFormatting sqref="J11">
    <cfRule type="cellIs" dxfId="42" priority="108" stopIfTrue="1" operator="notBetween">
      <formula>-0.692820323027551</formula>
      <formula>0.692820323027551</formula>
    </cfRule>
  </conditionalFormatting>
  <conditionalFormatting sqref="J12">
    <cfRule type="cellIs" dxfId="41" priority="109" stopIfTrue="1" operator="notBetween">
      <formula>-0.692820323027551</formula>
      <formula>0.692820323027551</formula>
    </cfRule>
  </conditionalFormatting>
  <conditionalFormatting sqref="J13">
    <cfRule type="cellIs" dxfId="40" priority="110" stopIfTrue="1" operator="notBetween">
      <formula>-0.692820323027551</formula>
      <formula>0.692820323027551</formula>
    </cfRule>
  </conditionalFormatting>
  <conditionalFormatting sqref="J14">
    <cfRule type="cellIs" dxfId="39" priority="111" stopIfTrue="1" operator="notBetween">
      <formula>-0.692820323027551</formula>
      <formula>0.692820323027551</formula>
    </cfRule>
  </conditionalFormatting>
  <conditionalFormatting sqref="J15">
    <cfRule type="cellIs" dxfId="38" priority="112" stopIfTrue="1" operator="notBetween">
      <formula>-0.692820323027551</formula>
      <formula>0.692820323027551</formula>
    </cfRule>
  </conditionalFormatting>
  <conditionalFormatting sqref="J16">
    <cfRule type="cellIs" dxfId="37" priority="113" stopIfTrue="1" operator="notBetween">
      <formula>-0.692820323027551</formula>
      <formula>0.692820323027551</formula>
    </cfRule>
  </conditionalFormatting>
  <conditionalFormatting sqref="J17">
    <cfRule type="cellIs" dxfId="36" priority="114" stopIfTrue="1" operator="notBetween">
      <formula>-0.692820323027551</formula>
      <formula>0.692820323027551</formula>
    </cfRule>
  </conditionalFormatting>
  <conditionalFormatting sqref="J18">
    <cfRule type="cellIs" dxfId="35" priority="115" stopIfTrue="1" operator="notBetween">
      <formula>-0.692820323027551</formula>
      <formula>0.692820323027551</formula>
    </cfRule>
  </conditionalFormatting>
  <conditionalFormatting sqref="J19">
    <cfRule type="cellIs" dxfId="34" priority="116" stopIfTrue="1" operator="notBetween">
      <formula>-0.692820323027551</formula>
      <formula>0.692820323027551</formula>
    </cfRule>
  </conditionalFormatting>
  <conditionalFormatting sqref="J20">
    <cfRule type="cellIs" dxfId="33" priority="117" stopIfTrue="1" operator="notBetween">
      <formula>-0.692820323027551</formula>
      <formula>0.692820323027551</formula>
    </cfRule>
  </conditionalFormatting>
  <conditionalFormatting sqref="J21">
    <cfRule type="cellIs" dxfId="32" priority="118" stopIfTrue="1" operator="notBetween">
      <formula>-0.692820323027551</formula>
      <formula>0.692820323027551</formula>
    </cfRule>
  </conditionalFormatting>
  <conditionalFormatting sqref="J22">
    <cfRule type="cellIs" dxfId="31" priority="119" stopIfTrue="1" operator="notBetween">
      <formula>-0.692820323027551</formula>
      <formula>0.692820323027551</formula>
    </cfRule>
  </conditionalFormatting>
  <conditionalFormatting sqref="J23">
    <cfRule type="cellIs" dxfId="30" priority="120" stopIfTrue="1" operator="notBetween">
      <formula>-0.692820323027551</formula>
      <formula>0.692820323027551</formula>
    </cfRule>
  </conditionalFormatting>
  <conditionalFormatting sqref="J24">
    <cfRule type="cellIs" dxfId="29" priority="121" stopIfTrue="1" operator="notBetween">
      <formula>-0.692820323027551</formula>
      <formula>0.692820323027551</formula>
    </cfRule>
  </conditionalFormatting>
  <conditionalFormatting sqref="J25">
    <cfRule type="cellIs" dxfId="28" priority="122" stopIfTrue="1" operator="notBetween">
      <formula>-0.692820323027551</formula>
      <formula>0.692820323027551</formula>
    </cfRule>
  </conditionalFormatting>
  <conditionalFormatting sqref="J26">
    <cfRule type="cellIs" dxfId="27" priority="123" stopIfTrue="1" operator="notBetween">
      <formula>-0.692820323027551</formula>
      <formula>0.692820323027551</formula>
    </cfRule>
  </conditionalFormatting>
  <conditionalFormatting sqref="J27">
    <cfRule type="cellIs" dxfId="26" priority="124" stopIfTrue="1" operator="notBetween">
      <formula>-0.692820323027551</formula>
      <formula>0.692820323027551</formula>
    </cfRule>
  </conditionalFormatting>
  <conditionalFormatting sqref="J28">
    <cfRule type="cellIs" dxfId="25" priority="125" stopIfTrue="1" operator="notBetween">
      <formula>-0.692820323027551</formula>
      <formula>0.692820323027551</formula>
    </cfRule>
  </conditionalFormatting>
  <conditionalFormatting sqref="K4">
    <cfRule type="cellIs" dxfId="24" priority="126" stopIfTrue="1" operator="greaterThan">
      <formula>1</formula>
    </cfRule>
  </conditionalFormatting>
  <conditionalFormatting sqref="K5">
    <cfRule type="cellIs" dxfId="23" priority="127" stopIfTrue="1" operator="greaterThan">
      <formula>1</formula>
    </cfRule>
  </conditionalFormatting>
  <conditionalFormatting sqref="K6">
    <cfRule type="cellIs" dxfId="22" priority="128" stopIfTrue="1" operator="greaterThan">
      <formula>1</formula>
    </cfRule>
  </conditionalFormatting>
  <conditionalFormatting sqref="K7">
    <cfRule type="cellIs" dxfId="21" priority="129" stopIfTrue="1" operator="greaterThan">
      <formula>1</formula>
    </cfRule>
  </conditionalFormatting>
  <conditionalFormatting sqref="K8">
    <cfRule type="cellIs" dxfId="20" priority="130" stopIfTrue="1" operator="greaterThan">
      <formula>1</formula>
    </cfRule>
  </conditionalFormatting>
  <conditionalFormatting sqref="K9">
    <cfRule type="cellIs" dxfId="19" priority="131" stopIfTrue="1" operator="greaterThan">
      <formula>1</formula>
    </cfRule>
  </conditionalFormatting>
  <conditionalFormatting sqref="K10">
    <cfRule type="cellIs" dxfId="18" priority="132" stopIfTrue="1" operator="greaterThan">
      <formula>1</formula>
    </cfRule>
  </conditionalFormatting>
  <conditionalFormatting sqref="K11">
    <cfRule type="cellIs" dxfId="17" priority="133" stopIfTrue="1" operator="greaterThan">
      <formula>1</formula>
    </cfRule>
  </conditionalFormatting>
  <conditionalFormatting sqref="K12">
    <cfRule type="cellIs" dxfId="16" priority="134" stopIfTrue="1" operator="greaterThan">
      <formula>1</formula>
    </cfRule>
  </conditionalFormatting>
  <conditionalFormatting sqref="K13">
    <cfRule type="cellIs" dxfId="15" priority="135" stopIfTrue="1" operator="greaterThan">
      <formula>1</formula>
    </cfRule>
  </conditionalFormatting>
  <conditionalFormatting sqref="K14">
    <cfRule type="cellIs" dxfId="14" priority="136" stopIfTrue="1" operator="greaterThan">
      <formula>1</formula>
    </cfRule>
  </conditionalFormatting>
  <conditionalFormatting sqref="K15">
    <cfRule type="cellIs" dxfId="13" priority="137" stopIfTrue="1" operator="greaterThan">
      <formula>1</formula>
    </cfRule>
  </conditionalFormatting>
  <conditionalFormatting sqref="K16">
    <cfRule type="cellIs" dxfId="12" priority="138" stopIfTrue="1" operator="greaterThan">
      <formula>1</formula>
    </cfRule>
  </conditionalFormatting>
  <conditionalFormatting sqref="K17">
    <cfRule type="cellIs" dxfId="11" priority="139" stopIfTrue="1" operator="greaterThan">
      <formula>1</formula>
    </cfRule>
  </conditionalFormatting>
  <conditionalFormatting sqref="K18">
    <cfRule type="cellIs" dxfId="10" priority="140" stopIfTrue="1" operator="greaterThan">
      <formula>1</formula>
    </cfRule>
  </conditionalFormatting>
  <conditionalFormatting sqref="K19">
    <cfRule type="cellIs" dxfId="9" priority="141" stopIfTrue="1" operator="greaterThan">
      <formula>1</formula>
    </cfRule>
  </conditionalFormatting>
  <conditionalFormatting sqref="K20">
    <cfRule type="cellIs" dxfId="8" priority="142" stopIfTrue="1" operator="greaterThan">
      <formula>1</formula>
    </cfRule>
  </conditionalFormatting>
  <conditionalFormatting sqref="K21">
    <cfRule type="cellIs" dxfId="7" priority="143" stopIfTrue="1" operator="greaterThan">
      <formula>1</formula>
    </cfRule>
  </conditionalFormatting>
  <conditionalFormatting sqref="K22">
    <cfRule type="cellIs" dxfId="6" priority="144" stopIfTrue="1" operator="greaterThan">
      <formula>1</formula>
    </cfRule>
  </conditionalFormatting>
  <conditionalFormatting sqref="K23">
    <cfRule type="cellIs" dxfId="5" priority="145" stopIfTrue="1" operator="greaterThan">
      <formula>1</formula>
    </cfRule>
  </conditionalFormatting>
  <conditionalFormatting sqref="K24">
    <cfRule type="cellIs" dxfId="4" priority="146" stopIfTrue="1" operator="greaterThan">
      <formula>1</formula>
    </cfRule>
  </conditionalFormatting>
  <conditionalFormatting sqref="K25">
    <cfRule type="cellIs" dxfId="3" priority="147" stopIfTrue="1" operator="greaterThan">
      <formula>1</formula>
    </cfRule>
  </conditionalFormatting>
  <conditionalFormatting sqref="K26">
    <cfRule type="cellIs" dxfId="2" priority="148" stopIfTrue="1" operator="greaterThan">
      <formula>1</formula>
    </cfRule>
  </conditionalFormatting>
  <conditionalFormatting sqref="K27">
    <cfRule type="cellIs" dxfId="1" priority="149" stopIfTrue="1" operator="greaterThan">
      <formula>1</formula>
    </cfRule>
  </conditionalFormatting>
  <conditionalFormatting sqref="K28">
    <cfRule type="cellIs" dxfId="0" priority="150" stopIfTrue="1" operator="greaterThan">
      <formula>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rchtbutton">
              <controlPr locked="0" defaultSize="0" print="0" autoFill="0" autoPict="0" macro="[1]!MoreRegOptions">
                <anchor moveWithCells="1" siz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68580</xdr:colOff>
                    <xdr:row>1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7E39-B444-4FF1-8AEB-3117249EE322}">
  <sheetPr codeName="Sheet7"/>
  <dimension ref="A1"/>
  <sheetViews>
    <sheetView workbookViewId="0"/>
  </sheetViews>
  <sheetFormatPr defaultRowHeight="14.4" x14ac:dyDescent="0.3"/>
  <sheetData>
    <row r="1" spans="1:1" x14ac:dyDescent="0.3"/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5A15-447C-4075-9FE3-7DE95E4437AB}">
  <sheetPr codeName="Sheet8"/>
  <dimension ref="A1:F25"/>
  <sheetViews>
    <sheetView workbookViewId="0"/>
  </sheetViews>
  <sheetFormatPr defaultRowHeight="14.4" x14ac:dyDescent="0.3"/>
  <sheetData>
    <row r="1" spans="1:6" x14ac:dyDescent="0.3">
      <c r="A1">
        <v>-5.7879699423215172</v>
      </c>
      <c r="B1">
        <v>0.02</v>
      </c>
      <c r="C1">
        <v>-2.0537489106318225</v>
      </c>
      <c r="D1">
        <v>-1.8546975574525428</v>
      </c>
      <c r="E1">
        <v>7.1553764545209901</v>
      </c>
      <c r="F1">
        <v>7.1553764545209901</v>
      </c>
    </row>
    <row r="2" spans="1:6" x14ac:dyDescent="0.3">
      <c r="A2">
        <v>-5.0280843225638847</v>
      </c>
      <c r="B2">
        <v>0.06</v>
      </c>
      <c r="C2">
        <v>-1.554773594596853</v>
      </c>
      <c r="D2">
        <v>-1.6111997478660436</v>
      </c>
      <c r="E2">
        <v>79.239999999999995</v>
      </c>
      <c r="F2">
        <v>79.239999999999995</v>
      </c>
    </row>
    <row r="3" spans="1:6" x14ac:dyDescent="0.3">
      <c r="A3">
        <v>-4.6075678556721087</v>
      </c>
      <c r="B3">
        <v>0.1</v>
      </c>
      <c r="C3">
        <v>-1.2815515655446006</v>
      </c>
      <c r="D3">
        <v>-1.4764494171309257</v>
      </c>
    </row>
    <row r="4" spans="1:6" x14ac:dyDescent="0.3">
      <c r="A4">
        <v>-4.5728535023392425</v>
      </c>
      <c r="B4">
        <v>0.14000000000000001</v>
      </c>
      <c r="C4">
        <v>-1.0803193408149565</v>
      </c>
      <c r="D4">
        <v>-1.4653255469352233</v>
      </c>
    </row>
    <row r="5" spans="1:6" x14ac:dyDescent="0.3">
      <c r="A5">
        <v>-3.686527888026724</v>
      </c>
      <c r="B5">
        <v>0.18</v>
      </c>
      <c r="C5">
        <v>-0.91536508784281501</v>
      </c>
      <c r="D5">
        <v>-1.1813112952451568</v>
      </c>
    </row>
    <row r="6" spans="1:6" x14ac:dyDescent="0.3">
      <c r="A6">
        <v>-2.6141789270614701</v>
      </c>
      <c r="B6">
        <v>0.22</v>
      </c>
      <c r="C6">
        <v>-0.77219321418868503</v>
      </c>
      <c r="D6">
        <v>-0.83768770727585051</v>
      </c>
    </row>
    <row r="7" spans="1:6" x14ac:dyDescent="0.3">
      <c r="A7">
        <v>-0.66292842559002452</v>
      </c>
      <c r="B7">
        <v>0.26</v>
      </c>
      <c r="C7">
        <v>-0.64334540539291696</v>
      </c>
      <c r="D7">
        <v>-0.21242883842872395</v>
      </c>
    </row>
    <row r="8" spans="1:6" x14ac:dyDescent="0.3">
      <c r="A8">
        <v>-0.59304089622757061</v>
      </c>
      <c r="B8">
        <v>0.3</v>
      </c>
      <c r="C8">
        <v>-0.52440051270804089</v>
      </c>
      <c r="D8">
        <v>-0.19003407285519272</v>
      </c>
    </row>
    <row r="9" spans="1:6" x14ac:dyDescent="0.3">
      <c r="A9">
        <v>-0.44439834717993065</v>
      </c>
      <c r="B9">
        <v>0.34</v>
      </c>
      <c r="C9">
        <v>-0.41246312944140484</v>
      </c>
      <c r="D9">
        <v>-0.14240304239037313</v>
      </c>
    </row>
    <row r="10" spans="1:6" x14ac:dyDescent="0.3">
      <c r="A10">
        <v>-0.28957428378783234</v>
      </c>
      <c r="B10">
        <v>0.38</v>
      </c>
      <c r="C10">
        <v>-0.30548078809939727</v>
      </c>
      <c r="D10">
        <v>-9.2791206967982168E-2</v>
      </c>
    </row>
    <row r="11" spans="1:6" x14ac:dyDescent="0.3">
      <c r="A11">
        <v>-0.21258392596142173</v>
      </c>
      <c r="B11">
        <v>0.42</v>
      </c>
      <c r="C11">
        <v>-0.20189347914185088</v>
      </c>
      <c r="D11">
        <v>-6.8120410465751791E-2</v>
      </c>
    </row>
    <row r="12" spans="1:6" x14ac:dyDescent="0.3">
      <c r="A12">
        <v>-4.9793703906296116E-2</v>
      </c>
      <c r="B12">
        <v>0.46</v>
      </c>
      <c r="C12">
        <v>-0.10043372051146976</v>
      </c>
      <c r="D12">
        <v>-1.5955898515695569E-2</v>
      </c>
    </row>
    <row r="13" spans="1:6" x14ac:dyDescent="0.3">
      <c r="A13">
        <v>0.43636034004266655</v>
      </c>
      <c r="B13">
        <v>0.5</v>
      </c>
      <c r="C13">
        <v>0</v>
      </c>
      <c r="D13">
        <v>0.13982734273178041</v>
      </c>
    </row>
    <row r="14" spans="1:6" x14ac:dyDescent="0.3">
      <c r="A14">
        <v>0.6712017968389894</v>
      </c>
      <c r="B14">
        <v>0.54</v>
      </c>
      <c r="C14">
        <v>0.10043372051146988</v>
      </c>
      <c r="D14">
        <v>0.21507995818230818</v>
      </c>
    </row>
    <row r="15" spans="1:6" x14ac:dyDescent="0.3">
      <c r="A15">
        <v>0.84462354547900986</v>
      </c>
      <c r="B15">
        <v>0.57999999999999996</v>
      </c>
      <c r="C15">
        <v>0.20189347914185077</v>
      </c>
      <c r="D15">
        <v>0.27065123737295016</v>
      </c>
    </row>
    <row r="16" spans="1:6" x14ac:dyDescent="0.3">
      <c r="A16">
        <v>1.0270093172060335</v>
      </c>
      <c r="B16">
        <v>0.62</v>
      </c>
      <c r="C16">
        <v>0.30548078809939727</v>
      </c>
      <c r="D16">
        <v>0.3290949488481566</v>
      </c>
    </row>
    <row r="17" spans="1:4" x14ac:dyDescent="0.3">
      <c r="A17">
        <v>1.0675358610890804</v>
      </c>
      <c r="B17">
        <v>0.66</v>
      </c>
      <c r="C17">
        <v>0.41246312944140473</v>
      </c>
      <c r="D17">
        <v>0.34208127785485704</v>
      </c>
    </row>
    <row r="18" spans="1:4" x14ac:dyDescent="0.3">
      <c r="A18">
        <v>1.1463854467594707</v>
      </c>
      <c r="B18">
        <v>0.7</v>
      </c>
      <c r="C18">
        <v>0.52440051270804078</v>
      </c>
      <c r="D18">
        <v>0.36734784547810911</v>
      </c>
    </row>
    <row r="19" spans="1:4" x14ac:dyDescent="0.3">
      <c r="A19">
        <v>1.156604866877931</v>
      </c>
      <c r="B19">
        <v>0.74</v>
      </c>
      <c r="C19">
        <v>0.64334540539291696</v>
      </c>
      <c r="D19">
        <v>0.37062255728918791</v>
      </c>
    </row>
    <row r="20" spans="1:4" x14ac:dyDescent="0.3">
      <c r="A20">
        <v>1.79319347778031</v>
      </c>
      <c r="B20">
        <v>0.78</v>
      </c>
      <c r="C20">
        <v>0.77219321418868503</v>
      </c>
      <c r="D20">
        <v>0.57461106336445977</v>
      </c>
    </row>
    <row r="21" spans="1:4" x14ac:dyDescent="0.3">
      <c r="A21">
        <v>2.2374930212426776</v>
      </c>
      <c r="B21">
        <v>0.82</v>
      </c>
      <c r="C21">
        <v>0.91536508784281256</v>
      </c>
      <c r="D21">
        <v>0.71698244508355891</v>
      </c>
    </row>
    <row r="22" spans="1:4" x14ac:dyDescent="0.3">
      <c r="A22">
        <v>2.3764129171549655</v>
      </c>
      <c r="B22">
        <v>0.86</v>
      </c>
      <c r="C22">
        <v>1.0803193408149565</v>
      </c>
      <c r="D22">
        <v>0.76149794778963154</v>
      </c>
    </row>
    <row r="23" spans="1:4" x14ac:dyDescent="0.3">
      <c r="A23">
        <v>3.4486213148106799</v>
      </c>
      <c r="B23">
        <v>0.9</v>
      </c>
      <c r="C23">
        <v>1.2815515655446006</v>
      </c>
      <c r="D23">
        <v>1.1050764936406359</v>
      </c>
    </row>
    <row r="24" spans="1:4" x14ac:dyDescent="0.3">
      <c r="A24">
        <v>4.9243539119269428</v>
      </c>
      <c r="B24">
        <v>0.94</v>
      </c>
      <c r="C24">
        <v>1.5547735945968528</v>
      </c>
      <c r="D24">
        <v>1.5779603666738133</v>
      </c>
    </row>
    <row r="25" spans="1:4" x14ac:dyDescent="0.3">
      <c r="A25">
        <v>7.4197062034300245</v>
      </c>
      <c r="B25">
        <v>0.98</v>
      </c>
      <c r="C25">
        <v>2.0537489106318221</v>
      </c>
      <c r="D25">
        <v>2.3775712572200134</v>
      </c>
    </row>
  </sheetData>
  <sortState xmlns:xlrd2="http://schemas.microsoft.com/office/spreadsheetml/2017/richdata2" ref="A1:A25">
    <sortCondition ref="A1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WHMcNumber</vt:lpstr>
      <vt:lpstr>Information</vt:lpstr>
      <vt:lpstr>ANOVA Calculations</vt:lpstr>
      <vt:lpstr>Predictor Table Calculations</vt:lpstr>
      <vt:lpstr>Standardized Coefficients</vt:lpstr>
      <vt:lpstr>Regression Stat Calculations</vt:lpstr>
      <vt:lpstr>H Matrix</vt:lpstr>
      <vt:lpstr>Data (1)</vt:lpstr>
      <vt:lpstr>Summary (1)</vt:lpstr>
      <vt:lpstr>Residuals (1)</vt:lpstr>
      <vt:lpstr>Regression Charts (1)</vt:lpstr>
      <vt:lpstr>Reg Chart Data (1)</vt:lpstr>
      <vt:lpstr>'Summary (1)'!meansqerr</vt:lpstr>
      <vt:lpstr>'Summary (1)'!regcoeff</vt:lpstr>
      <vt:lpstr>'Summary (1)'!regpred</vt:lpstr>
      <vt:lpstr>XVector</vt:lpstr>
      <vt:lpstr>YVector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McNeese</dc:creator>
  <cp:lastModifiedBy>William McNeese</cp:lastModifiedBy>
  <dcterms:created xsi:type="dcterms:W3CDTF">2022-08-16T18:40:34Z</dcterms:created>
  <dcterms:modified xsi:type="dcterms:W3CDTF">2022-08-25T18:09:00Z</dcterms:modified>
</cp:coreProperties>
</file>